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enne_projektmappe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Q:\By Erhverv og Natur\Klimasekretariatet\Økologiopgørelser 2023-24\"/>
    </mc:Choice>
  </mc:AlternateContent>
  <xr:revisionPtr revIDLastSave="0" documentId="8_{764E6207-BAC4-4415-8B87-EC778C3CF5B9}" xr6:coauthVersionLast="47" xr6:coauthVersionMax="47" xr10:uidLastSave="{00000000-0000-0000-0000-000000000000}"/>
  <bookViews>
    <workbookView xWindow="-120" yWindow="-120" windowWidth="38640" windowHeight="21240" tabRatio="746" xr2:uid="{00000000-000D-0000-FFFF-FFFF00000000}"/>
  </bookViews>
  <sheets>
    <sheet name="Spisemærker" sheetId="13" r:id="rId1"/>
    <sheet name="Øko% kommunale køkk. m. smiley" sheetId="19" r:id="rId2"/>
    <sheet name="Øko% pr. område" sheetId="22" r:id="rId3"/>
    <sheet name="Nemlig Q4" sheetId="34" state="hidden" r:id="rId4"/>
    <sheet name="Hørkram Q4" sheetId="33" state="hidden" r:id="rId5"/>
    <sheet name="Øko% Alle køkkener" sheetId="3" r:id="rId6"/>
  </sheets>
  <definedNames>
    <definedName name="_xlnm._FilterDatabase" localSheetId="3" hidden="1">'Nemlig Q4'!$A$1:$K$52</definedName>
    <definedName name="_xlnm._FilterDatabase" localSheetId="5" hidden="1">'Øko% Alle køkkener'!$A$4:$AL$115</definedName>
    <definedName name="_xlnm._FilterDatabase" localSheetId="1" hidden="1">'Øko% kommunale køkk. m. smiley'!$A$4:$P$56</definedName>
  </definedNames>
  <calcPr calcId="191029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3" i="3" l="1"/>
  <c r="M39" i="19" l="1"/>
  <c r="L39" i="19"/>
  <c r="L20" i="19"/>
  <c r="T113" i="3" l="1"/>
  <c r="U69" i="3"/>
  <c r="T69" i="3"/>
  <c r="Q85" i="3" l="1"/>
  <c r="M52" i="3"/>
  <c r="M56" i="3"/>
  <c r="L56" i="3"/>
  <c r="M106" i="3"/>
  <c r="L106" i="3"/>
  <c r="M73" i="3"/>
  <c r="L73" i="3"/>
  <c r="M65" i="3"/>
  <c r="L65" i="3"/>
  <c r="L52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3" i="3"/>
  <c r="M54" i="3"/>
  <c r="M55" i="3"/>
  <c r="M57" i="3"/>
  <c r="M58" i="3"/>
  <c r="M59" i="3"/>
  <c r="M60" i="3"/>
  <c r="M61" i="3"/>
  <c r="M62" i="3"/>
  <c r="M63" i="3"/>
  <c r="M64" i="3"/>
  <c r="M66" i="3"/>
  <c r="M67" i="3"/>
  <c r="M68" i="3"/>
  <c r="M69" i="3"/>
  <c r="M70" i="3"/>
  <c r="M71" i="3"/>
  <c r="M72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7" i="3"/>
  <c r="M108" i="3"/>
  <c r="M109" i="3"/>
  <c r="M110" i="3"/>
  <c r="M111" i="3"/>
  <c r="M112" i="3"/>
  <c r="M113" i="3"/>
  <c r="M5" i="3"/>
  <c r="L11" i="3"/>
  <c r="L12" i="3"/>
  <c r="L13" i="3"/>
  <c r="L14" i="3"/>
  <c r="L15" i="3"/>
  <c r="L16" i="3"/>
  <c r="L17" i="3"/>
  <c r="L18" i="3"/>
  <c r="L19" i="3"/>
  <c r="L20" i="3"/>
  <c r="L21" i="3"/>
  <c r="L22" i="3"/>
  <c r="J22" i="3" s="1"/>
  <c r="D20" i="19" s="1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3" i="3"/>
  <c r="L54" i="3"/>
  <c r="L55" i="3"/>
  <c r="L57" i="3"/>
  <c r="L58" i="3"/>
  <c r="L59" i="3"/>
  <c r="L60" i="3"/>
  <c r="L61" i="3"/>
  <c r="L62" i="3"/>
  <c r="L63" i="3"/>
  <c r="L64" i="3"/>
  <c r="L66" i="3"/>
  <c r="L67" i="3"/>
  <c r="L68" i="3"/>
  <c r="L69" i="3"/>
  <c r="L70" i="3"/>
  <c r="L71" i="3"/>
  <c r="L72" i="3"/>
  <c r="L74" i="3"/>
  <c r="J74" i="3" s="1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7" i="3"/>
  <c r="L108" i="3"/>
  <c r="L109" i="3"/>
  <c r="L110" i="3"/>
  <c r="L111" i="3"/>
  <c r="L112" i="3"/>
  <c r="L113" i="3"/>
  <c r="L114" i="3"/>
  <c r="L5" i="3"/>
  <c r="L6" i="3"/>
  <c r="L7" i="3"/>
  <c r="L8" i="3"/>
  <c r="L9" i="3"/>
  <c r="L10" i="3"/>
  <c r="J52" i="34"/>
  <c r="H52" i="34"/>
  <c r="F52" i="34"/>
  <c r="J51" i="34"/>
  <c r="H51" i="34"/>
  <c r="F51" i="34"/>
  <c r="J50" i="34"/>
  <c r="H50" i="34"/>
  <c r="F50" i="34"/>
  <c r="J49" i="34"/>
  <c r="H49" i="34"/>
  <c r="F49" i="34"/>
  <c r="J48" i="34"/>
  <c r="H48" i="34"/>
  <c r="F48" i="34"/>
  <c r="J47" i="34"/>
  <c r="H47" i="34"/>
  <c r="F47" i="34"/>
  <c r="J46" i="34"/>
  <c r="H46" i="34"/>
  <c r="F46" i="34"/>
  <c r="J45" i="34"/>
  <c r="H45" i="34"/>
  <c r="F45" i="34"/>
  <c r="J44" i="34"/>
  <c r="H44" i="34"/>
  <c r="F44" i="34"/>
  <c r="J43" i="34"/>
  <c r="H43" i="34"/>
  <c r="F43" i="34"/>
  <c r="J42" i="34"/>
  <c r="H42" i="34"/>
  <c r="F42" i="34"/>
  <c r="J41" i="34"/>
  <c r="H41" i="34"/>
  <c r="F41" i="34"/>
  <c r="J40" i="34"/>
  <c r="H40" i="34"/>
  <c r="F40" i="34"/>
  <c r="J39" i="34"/>
  <c r="H39" i="34"/>
  <c r="F39" i="34"/>
  <c r="J38" i="34"/>
  <c r="H38" i="34"/>
  <c r="F38" i="34"/>
  <c r="J37" i="34"/>
  <c r="H37" i="34"/>
  <c r="F37" i="34"/>
  <c r="J36" i="34"/>
  <c r="H36" i="34"/>
  <c r="F36" i="34"/>
  <c r="J35" i="34"/>
  <c r="H35" i="34"/>
  <c r="F35" i="34"/>
  <c r="J34" i="34"/>
  <c r="H34" i="34"/>
  <c r="F34" i="34"/>
  <c r="J33" i="34"/>
  <c r="H33" i="34"/>
  <c r="F33" i="34"/>
  <c r="J32" i="34"/>
  <c r="H32" i="34"/>
  <c r="F32" i="34"/>
  <c r="J31" i="34"/>
  <c r="H31" i="34"/>
  <c r="F31" i="34"/>
  <c r="J30" i="34"/>
  <c r="H30" i="34"/>
  <c r="F30" i="34"/>
  <c r="J29" i="34"/>
  <c r="H29" i="34"/>
  <c r="F29" i="34"/>
  <c r="J28" i="34"/>
  <c r="H28" i="34"/>
  <c r="F28" i="34"/>
  <c r="J27" i="34"/>
  <c r="H27" i="34"/>
  <c r="F27" i="34"/>
  <c r="J26" i="34"/>
  <c r="H26" i="34"/>
  <c r="F26" i="34"/>
  <c r="J25" i="34"/>
  <c r="H25" i="34"/>
  <c r="F25" i="34"/>
  <c r="J24" i="34"/>
  <c r="H24" i="34"/>
  <c r="F24" i="34"/>
  <c r="J23" i="34"/>
  <c r="H23" i="34"/>
  <c r="F23" i="34"/>
  <c r="J22" i="34"/>
  <c r="H22" i="34"/>
  <c r="F22" i="34"/>
  <c r="J21" i="34"/>
  <c r="H21" i="34"/>
  <c r="F21" i="34"/>
  <c r="J20" i="34"/>
  <c r="H20" i="34"/>
  <c r="F20" i="34"/>
  <c r="J19" i="34"/>
  <c r="H19" i="34"/>
  <c r="F19" i="34"/>
  <c r="J18" i="34"/>
  <c r="H18" i="34"/>
  <c r="F18" i="34"/>
  <c r="J17" i="34"/>
  <c r="H17" i="34"/>
  <c r="F17" i="34"/>
  <c r="J16" i="34"/>
  <c r="H16" i="34"/>
  <c r="F16" i="34"/>
  <c r="J15" i="34"/>
  <c r="H15" i="34"/>
  <c r="F15" i="34"/>
  <c r="J14" i="34"/>
  <c r="H14" i="34"/>
  <c r="F14" i="34"/>
  <c r="J13" i="34"/>
  <c r="H13" i="34"/>
  <c r="F13" i="34"/>
  <c r="J12" i="34"/>
  <c r="H12" i="34"/>
  <c r="F12" i="34"/>
  <c r="J11" i="34"/>
  <c r="H11" i="34"/>
  <c r="F11" i="34"/>
  <c r="J10" i="34"/>
  <c r="H10" i="34"/>
  <c r="F10" i="34"/>
  <c r="J9" i="34"/>
  <c r="H9" i="34"/>
  <c r="F9" i="34"/>
  <c r="J8" i="34"/>
  <c r="H8" i="34"/>
  <c r="F8" i="34"/>
  <c r="J7" i="34"/>
  <c r="H7" i="34"/>
  <c r="F7" i="34"/>
  <c r="J6" i="34"/>
  <c r="H6" i="34"/>
  <c r="F6" i="34"/>
  <c r="J5" i="34"/>
  <c r="H5" i="34"/>
  <c r="F5" i="34"/>
  <c r="J4" i="34"/>
  <c r="H4" i="34"/>
  <c r="F4" i="34"/>
  <c r="J3" i="34"/>
  <c r="H3" i="34"/>
  <c r="F3" i="34"/>
  <c r="J2" i="34"/>
  <c r="H2" i="34"/>
  <c r="F2" i="34"/>
  <c r="O103" i="3"/>
  <c r="N103" i="3"/>
  <c r="O85" i="3"/>
  <c r="N85" i="3"/>
  <c r="O75" i="3"/>
  <c r="N75" i="3"/>
  <c r="O48" i="3"/>
  <c r="N48" i="3"/>
  <c r="O7" i="3"/>
  <c r="O8" i="3"/>
  <c r="O9" i="3"/>
  <c r="O11" i="3"/>
  <c r="O12" i="3"/>
  <c r="O13" i="3"/>
  <c r="O14" i="3"/>
  <c r="O15" i="3"/>
  <c r="O16" i="3"/>
  <c r="O17" i="3"/>
  <c r="O19" i="3"/>
  <c r="O20" i="3"/>
  <c r="O21" i="3"/>
  <c r="O22" i="3"/>
  <c r="O23" i="3"/>
  <c r="O25" i="3"/>
  <c r="O30" i="3"/>
  <c r="O32" i="3"/>
  <c r="O33" i="3"/>
  <c r="O34" i="3"/>
  <c r="O36" i="3"/>
  <c r="O37" i="3"/>
  <c r="O38" i="3"/>
  <c r="O39" i="3"/>
  <c r="O40" i="3"/>
  <c r="O41" i="3"/>
  <c r="O42" i="3"/>
  <c r="O43" i="3"/>
  <c r="O44" i="3"/>
  <c r="O45" i="3"/>
  <c r="O46" i="3"/>
  <c r="O47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6" i="3"/>
  <c r="O77" i="3"/>
  <c r="O78" i="3"/>
  <c r="O79" i="3"/>
  <c r="O80" i="3"/>
  <c r="O81" i="3"/>
  <c r="O82" i="3"/>
  <c r="O86" i="3"/>
  <c r="O88" i="3"/>
  <c r="O90" i="3"/>
  <c r="O92" i="3"/>
  <c r="O95" i="3"/>
  <c r="O97" i="3"/>
  <c r="O100" i="3"/>
  <c r="O102" i="3"/>
  <c r="O113" i="3"/>
  <c r="O114" i="3"/>
  <c r="N7" i="3"/>
  <c r="N8" i="3"/>
  <c r="N9" i="3"/>
  <c r="N11" i="3"/>
  <c r="N12" i="3"/>
  <c r="N13" i="3"/>
  <c r="N14" i="3"/>
  <c r="N15" i="3"/>
  <c r="N16" i="3"/>
  <c r="N17" i="3"/>
  <c r="N19" i="3"/>
  <c r="N20" i="3"/>
  <c r="N21" i="3"/>
  <c r="N22" i="3"/>
  <c r="N23" i="3"/>
  <c r="N25" i="3"/>
  <c r="N30" i="3"/>
  <c r="N32" i="3"/>
  <c r="N33" i="3"/>
  <c r="N34" i="3"/>
  <c r="N36" i="3"/>
  <c r="N37" i="3"/>
  <c r="N38" i="3"/>
  <c r="N39" i="3"/>
  <c r="N40" i="3"/>
  <c r="N41" i="3"/>
  <c r="N42" i="3"/>
  <c r="N43" i="3"/>
  <c r="N44" i="3"/>
  <c r="N45" i="3"/>
  <c r="N46" i="3"/>
  <c r="N47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6" i="3"/>
  <c r="N77" i="3"/>
  <c r="N78" i="3"/>
  <c r="N79" i="3"/>
  <c r="N80" i="3"/>
  <c r="N81" i="3"/>
  <c r="N82" i="3"/>
  <c r="N86" i="3"/>
  <c r="N88" i="3"/>
  <c r="N90" i="3"/>
  <c r="N92" i="3"/>
  <c r="N95" i="3"/>
  <c r="N97" i="3"/>
  <c r="N100" i="3"/>
  <c r="N102" i="3"/>
  <c r="N113" i="3"/>
  <c r="N114" i="3"/>
  <c r="K75" i="3" l="1"/>
  <c r="K74" i="3"/>
  <c r="J73" i="3"/>
  <c r="A38" i="19"/>
  <c r="B38" i="19" s="1"/>
  <c r="F38" i="19"/>
  <c r="G38" i="19"/>
  <c r="J38" i="19"/>
  <c r="K38" i="19"/>
  <c r="L38" i="19"/>
  <c r="M38" i="19"/>
  <c r="N38" i="19"/>
  <c r="O38" i="19"/>
  <c r="J72" i="3"/>
  <c r="K72" i="3"/>
  <c r="E38" i="19" s="1"/>
  <c r="I72" i="3" l="1"/>
  <c r="C38" i="19" s="1"/>
  <c r="D38" i="19"/>
  <c r="I38" i="19"/>
  <c r="A38" i="13"/>
  <c r="B38" i="13" s="1"/>
  <c r="H38" i="19"/>
  <c r="F16" i="19"/>
  <c r="G16" i="19"/>
  <c r="H16" i="19"/>
  <c r="I16" i="19"/>
  <c r="J16" i="19"/>
  <c r="K16" i="19"/>
  <c r="L16" i="19"/>
  <c r="M16" i="19"/>
  <c r="N16" i="19"/>
  <c r="O16" i="19"/>
  <c r="A16" i="19"/>
  <c r="A16" i="13" s="1"/>
  <c r="K18" i="3" l="1"/>
  <c r="E16" i="19" s="1"/>
  <c r="J18" i="3"/>
  <c r="D16" i="19" s="1"/>
  <c r="I18" i="3" l="1"/>
  <c r="J6" i="3"/>
  <c r="K6" i="3"/>
  <c r="B16" i="13" l="1"/>
  <c r="C16" i="19"/>
  <c r="O115" i="3" l="1"/>
  <c r="N115" i="3" l="1"/>
  <c r="F51" i="19"/>
  <c r="G51" i="19"/>
  <c r="J51" i="19"/>
  <c r="K51" i="19"/>
  <c r="L51" i="19"/>
  <c r="M51" i="19"/>
  <c r="N51" i="19"/>
  <c r="O51" i="19"/>
  <c r="F50" i="19"/>
  <c r="G50" i="19"/>
  <c r="J50" i="19"/>
  <c r="K50" i="19"/>
  <c r="L50" i="19"/>
  <c r="N50" i="19"/>
  <c r="O50" i="19"/>
  <c r="M50" i="19"/>
  <c r="B3" i="13" l="1"/>
  <c r="J24" i="3" l="1"/>
  <c r="K24" i="3"/>
  <c r="H50" i="19" l="1"/>
  <c r="I50" i="19"/>
  <c r="H51" i="19"/>
  <c r="I51" i="19"/>
  <c r="E57" i="13"/>
  <c r="K85" i="3" l="1"/>
  <c r="J85" i="3"/>
  <c r="K10" i="3"/>
  <c r="J10" i="3"/>
  <c r="I10" i="3" l="1"/>
  <c r="O52" i="19"/>
  <c r="O49" i="19"/>
  <c r="O48" i="19"/>
  <c r="O46" i="19"/>
  <c r="O45" i="19"/>
  <c r="O42" i="19"/>
  <c r="O41" i="19"/>
  <c r="O40" i="19"/>
  <c r="O39" i="19"/>
  <c r="O37" i="19"/>
  <c r="O36" i="19"/>
  <c r="O34" i="19"/>
  <c r="O33" i="19"/>
  <c r="O31" i="19"/>
  <c r="O30" i="19"/>
  <c r="O28" i="19"/>
  <c r="O24" i="19"/>
  <c r="O22" i="19"/>
  <c r="O21" i="19"/>
  <c r="O20" i="19"/>
  <c r="O19" i="19"/>
  <c r="O17" i="19"/>
  <c r="O14" i="19"/>
  <c r="O13" i="19"/>
  <c r="O12" i="19"/>
  <c r="O11" i="19"/>
  <c r="O10" i="19"/>
  <c r="O9" i="19"/>
  <c r="O8" i="19"/>
  <c r="O6" i="19"/>
  <c r="O5" i="19"/>
  <c r="N55" i="19"/>
  <c r="N54" i="19"/>
  <c r="N53" i="19"/>
  <c r="N52" i="19"/>
  <c r="N49" i="19"/>
  <c r="N48" i="19"/>
  <c r="N47" i="19"/>
  <c r="N46" i="19"/>
  <c r="N45" i="19"/>
  <c r="N44" i="19"/>
  <c r="N43" i="19"/>
  <c r="N42" i="19"/>
  <c r="N41" i="19"/>
  <c r="N40" i="19"/>
  <c r="N39" i="19"/>
  <c r="N37" i="19"/>
  <c r="N36" i="19"/>
  <c r="N35" i="19"/>
  <c r="N34" i="19"/>
  <c r="N33" i="19"/>
  <c r="N32" i="19"/>
  <c r="N31" i="19"/>
  <c r="N30" i="19"/>
  <c r="N29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5" i="19"/>
  <c r="N14" i="19"/>
  <c r="N13" i="19"/>
  <c r="N12" i="19"/>
  <c r="N11" i="19"/>
  <c r="N10" i="19"/>
  <c r="N9" i="19"/>
  <c r="N8" i="19"/>
  <c r="N7" i="19"/>
  <c r="N6" i="19"/>
  <c r="N5" i="19"/>
  <c r="O54" i="19" l="1"/>
  <c r="O35" i="19"/>
  <c r="O27" i="19" l="1"/>
  <c r="O43" i="19"/>
  <c r="O53" i="19"/>
  <c r="A56" i="13" l="1"/>
  <c r="B56" i="13" s="1"/>
  <c r="F53" i="19"/>
  <c r="G53" i="19"/>
  <c r="H53" i="19"/>
  <c r="I53" i="19"/>
  <c r="J53" i="19"/>
  <c r="K53" i="19"/>
  <c r="L53" i="19"/>
  <c r="M53" i="19"/>
  <c r="A53" i="19"/>
  <c r="F49" i="19"/>
  <c r="G49" i="19"/>
  <c r="J49" i="19"/>
  <c r="K49" i="19"/>
  <c r="L49" i="19"/>
  <c r="M49" i="19"/>
  <c r="A49" i="19"/>
  <c r="A50" i="19"/>
  <c r="A51" i="19"/>
  <c r="B51" i="19" s="1"/>
  <c r="F46" i="19"/>
  <c r="G46" i="19"/>
  <c r="J46" i="19"/>
  <c r="K46" i="19"/>
  <c r="L46" i="19"/>
  <c r="M46" i="19"/>
  <c r="F47" i="19"/>
  <c r="G47" i="19"/>
  <c r="J47" i="19"/>
  <c r="K47" i="19"/>
  <c r="L47" i="19"/>
  <c r="M47" i="19"/>
  <c r="A46" i="19"/>
  <c r="A47" i="19"/>
  <c r="F44" i="19"/>
  <c r="G44" i="19"/>
  <c r="J44" i="19"/>
  <c r="K44" i="19"/>
  <c r="L44" i="19"/>
  <c r="M44" i="19"/>
  <c r="A44" i="19"/>
  <c r="F42" i="19"/>
  <c r="G42" i="19"/>
  <c r="J42" i="19"/>
  <c r="K42" i="19"/>
  <c r="L42" i="19"/>
  <c r="M42" i="19"/>
  <c r="F41" i="19"/>
  <c r="G41" i="19"/>
  <c r="J41" i="19"/>
  <c r="K41" i="19"/>
  <c r="L41" i="19"/>
  <c r="M41" i="19"/>
  <c r="F40" i="19"/>
  <c r="G40" i="19"/>
  <c r="H40" i="19"/>
  <c r="I40" i="19"/>
  <c r="J40" i="19"/>
  <c r="K40" i="19"/>
  <c r="L40" i="19"/>
  <c r="M40" i="19"/>
  <c r="A40" i="19"/>
  <c r="A41" i="19"/>
  <c r="A42" i="19"/>
  <c r="F39" i="19"/>
  <c r="G39" i="19"/>
  <c r="H39" i="19"/>
  <c r="I39" i="19"/>
  <c r="J39" i="19"/>
  <c r="K39" i="19"/>
  <c r="F32" i="19"/>
  <c r="G32" i="19"/>
  <c r="J32" i="19"/>
  <c r="K32" i="19"/>
  <c r="L32" i="19"/>
  <c r="M32" i="19"/>
  <c r="F33" i="19"/>
  <c r="G33" i="19"/>
  <c r="J33" i="19"/>
  <c r="K33" i="19"/>
  <c r="L33" i="19"/>
  <c r="M33" i="19"/>
  <c r="F34" i="19"/>
  <c r="G34" i="19"/>
  <c r="J34" i="19"/>
  <c r="K34" i="19"/>
  <c r="L34" i="19"/>
  <c r="M34" i="19"/>
  <c r="F35" i="19"/>
  <c r="G35" i="19"/>
  <c r="J35" i="19"/>
  <c r="K35" i="19"/>
  <c r="L35" i="19"/>
  <c r="M35" i="19"/>
  <c r="F36" i="19"/>
  <c r="G36" i="19"/>
  <c r="J36" i="19"/>
  <c r="K36" i="19"/>
  <c r="L36" i="19"/>
  <c r="M36" i="19"/>
  <c r="F37" i="19"/>
  <c r="G37" i="19"/>
  <c r="J37" i="19"/>
  <c r="K37" i="19"/>
  <c r="L37" i="19"/>
  <c r="M37" i="19"/>
  <c r="A33" i="19"/>
  <c r="A34" i="19"/>
  <c r="A35" i="19"/>
  <c r="A36" i="19"/>
  <c r="A37" i="19"/>
  <c r="A39" i="19"/>
  <c r="A32" i="19"/>
  <c r="F30" i="19"/>
  <c r="G30" i="19"/>
  <c r="J30" i="19"/>
  <c r="K30" i="19"/>
  <c r="L30" i="19"/>
  <c r="M30" i="19"/>
  <c r="A30" i="19"/>
  <c r="F29" i="19"/>
  <c r="G29" i="19"/>
  <c r="J29" i="19"/>
  <c r="K29" i="19"/>
  <c r="L29" i="19"/>
  <c r="M29" i="19"/>
  <c r="A29" i="19"/>
  <c r="B29" i="19" s="1"/>
  <c r="M27" i="19"/>
  <c r="L27" i="19"/>
  <c r="K27" i="19"/>
  <c r="J27" i="19"/>
  <c r="I27" i="19"/>
  <c r="H27" i="19"/>
  <c r="G27" i="19"/>
  <c r="F27" i="19"/>
  <c r="A27" i="19"/>
  <c r="B27" i="19" s="1"/>
  <c r="F26" i="19"/>
  <c r="G26" i="19"/>
  <c r="J26" i="19"/>
  <c r="K26" i="19"/>
  <c r="L26" i="19"/>
  <c r="M26" i="19"/>
  <c r="A26" i="19"/>
  <c r="B26" i="19" s="1"/>
  <c r="A50" i="13" l="1"/>
  <c r="B50" i="19"/>
  <c r="A39" i="13"/>
  <c r="B39" i="19"/>
  <c r="A47" i="13"/>
  <c r="B47" i="19"/>
  <c r="A49" i="13"/>
  <c r="B49" i="19"/>
  <c r="A36" i="13"/>
  <c r="B36" i="19"/>
  <c r="A42" i="13"/>
  <c r="B42" i="19"/>
  <c r="A30" i="13"/>
  <c r="B30" i="19"/>
  <c r="A44" i="13"/>
  <c r="B44" i="19"/>
  <c r="A35" i="13"/>
  <c r="B35" i="19"/>
  <c r="A41" i="13"/>
  <c r="B41" i="19"/>
  <c r="A32" i="13"/>
  <c r="B32" i="19"/>
  <c r="A37" i="13"/>
  <c r="B37" i="19"/>
  <c r="A46" i="13"/>
  <c r="B46" i="19"/>
  <c r="A34" i="13"/>
  <c r="B34" i="19"/>
  <c r="A40" i="13"/>
  <c r="B40" i="19"/>
  <c r="A33" i="13"/>
  <c r="B33" i="19"/>
  <c r="A53" i="13"/>
  <c r="B53" i="19"/>
  <c r="A51" i="13"/>
  <c r="F20" i="19"/>
  <c r="G20" i="19"/>
  <c r="J20" i="19"/>
  <c r="K20" i="19"/>
  <c r="M20" i="19"/>
  <c r="A20" i="19"/>
  <c r="A20" i="13" l="1"/>
  <c r="B20" i="19"/>
  <c r="O47" i="19"/>
  <c r="O44" i="19"/>
  <c r="O15" i="19"/>
  <c r="O32" i="19"/>
  <c r="O29" i="19"/>
  <c r="I29" i="19"/>
  <c r="H29" i="19"/>
  <c r="O26" i="19"/>
  <c r="O25" i="19"/>
  <c r="O23" i="19"/>
  <c r="O55" i="19"/>
  <c r="O18" i="19"/>
  <c r="O7" i="19"/>
  <c r="I20" i="19" l="1"/>
  <c r="I26" i="19"/>
  <c r="I25" i="19"/>
  <c r="I47" i="19"/>
  <c r="I30" i="19"/>
  <c r="I32" i="19"/>
  <c r="I33" i="19"/>
  <c r="I34" i="19"/>
  <c r="I35" i="19"/>
  <c r="I36" i="19"/>
  <c r="I37" i="19"/>
  <c r="I41" i="19"/>
  <c r="I42" i="19"/>
  <c r="I44" i="19"/>
  <c r="I46" i="19"/>
  <c r="I49" i="19"/>
  <c r="H20" i="19"/>
  <c r="H26" i="19"/>
  <c r="H47" i="19"/>
  <c r="H30" i="19"/>
  <c r="H32" i="19"/>
  <c r="H33" i="19"/>
  <c r="H34" i="19"/>
  <c r="H35" i="19"/>
  <c r="H36" i="19"/>
  <c r="H37" i="19"/>
  <c r="H41" i="19"/>
  <c r="H42" i="19"/>
  <c r="H44" i="19"/>
  <c r="H46" i="19"/>
  <c r="H49" i="19"/>
  <c r="A1" i="19"/>
  <c r="A5" i="19"/>
  <c r="B5" i="19" s="1"/>
  <c r="F5" i="19"/>
  <c r="G5" i="19"/>
  <c r="J5" i="19"/>
  <c r="K5" i="19"/>
  <c r="L5" i="19"/>
  <c r="M5" i="19"/>
  <c r="A6" i="19"/>
  <c r="B6" i="19" s="1"/>
  <c r="F6" i="19"/>
  <c r="G6" i="19"/>
  <c r="J6" i="19"/>
  <c r="K6" i="19"/>
  <c r="L6" i="19"/>
  <c r="M6" i="19"/>
  <c r="A7" i="19"/>
  <c r="B7" i="19" s="1"/>
  <c r="F7" i="19"/>
  <c r="G7" i="19"/>
  <c r="J7" i="19"/>
  <c r="K7" i="19"/>
  <c r="L7" i="19"/>
  <c r="M7" i="19"/>
  <c r="A8" i="19"/>
  <c r="B8" i="19" s="1"/>
  <c r="F8" i="19"/>
  <c r="G8" i="19"/>
  <c r="J8" i="19"/>
  <c r="K8" i="19"/>
  <c r="L8" i="19"/>
  <c r="M8" i="19"/>
  <c r="A9" i="19"/>
  <c r="B9" i="19" s="1"/>
  <c r="F9" i="19"/>
  <c r="G9" i="19"/>
  <c r="J9" i="19"/>
  <c r="K9" i="19"/>
  <c r="L9" i="19"/>
  <c r="M9" i="19"/>
  <c r="A10" i="19"/>
  <c r="B10" i="19" s="1"/>
  <c r="F10" i="19"/>
  <c r="G10" i="19"/>
  <c r="J10" i="19"/>
  <c r="K10" i="19"/>
  <c r="L10" i="19"/>
  <c r="M10" i="19"/>
  <c r="A11" i="19"/>
  <c r="B11" i="19" s="1"/>
  <c r="F11" i="19"/>
  <c r="G11" i="19"/>
  <c r="J11" i="19"/>
  <c r="K11" i="19"/>
  <c r="L11" i="19"/>
  <c r="M11" i="19"/>
  <c r="A12" i="19"/>
  <c r="B12" i="19" s="1"/>
  <c r="F12" i="19"/>
  <c r="G12" i="19"/>
  <c r="J12" i="19"/>
  <c r="K12" i="19"/>
  <c r="L12" i="19"/>
  <c r="M12" i="19"/>
  <c r="A13" i="19"/>
  <c r="B13" i="19" s="1"/>
  <c r="F13" i="19"/>
  <c r="G13" i="19"/>
  <c r="J13" i="19"/>
  <c r="K13" i="19"/>
  <c r="L13" i="19"/>
  <c r="M13" i="19"/>
  <c r="A14" i="19"/>
  <c r="B14" i="19" s="1"/>
  <c r="F14" i="19"/>
  <c r="G14" i="19"/>
  <c r="J14" i="19"/>
  <c r="K14" i="19"/>
  <c r="L14" i="19"/>
  <c r="M14" i="19"/>
  <c r="A15" i="19"/>
  <c r="B15" i="19" s="1"/>
  <c r="F15" i="19"/>
  <c r="G15" i="19"/>
  <c r="J15" i="19"/>
  <c r="K15" i="19"/>
  <c r="L15" i="19"/>
  <c r="M15" i="19"/>
  <c r="A17" i="19"/>
  <c r="B17" i="19" s="1"/>
  <c r="F17" i="19"/>
  <c r="G17" i="19"/>
  <c r="J17" i="19"/>
  <c r="K17" i="19"/>
  <c r="L17" i="19"/>
  <c r="M17" i="19"/>
  <c r="A18" i="19"/>
  <c r="B18" i="19" s="1"/>
  <c r="F18" i="19"/>
  <c r="G18" i="19"/>
  <c r="J18" i="19"/>
  <c r="K18" i="19"/>
  <c r="L18" i="19"/>
  <c r="M18" i="19"/>
  <c r="A19" i="19"/>
  <c r="B19" i="19" s="1"/>
  <c r="F19" i="19"/>
  <c r="G19" i="19"/>
  <c r="J19" i="19"/>
  <c r="K19" i="19"/>
  <c r="L19" i="19"/>
  <c r="M19" i="19"/>
  <c r="A21" i="19"/>
  <c r="F21" i="19"/>
  <c r="G21" i="19"/>
  <c r="J21" i="19"/>
  <c r="K21" i="19"/>
  <c r="L21" i="19"/>
  <c r="M21" i="19"/>
  <c r="A22" i="19"/>
  <c r="B22" i="19" s="1"/>
  <c r="F22" i="19"/>
  <c r="G22" i="19"/>
  <c r="J22" i="19"/>
  <c r="K22" i="19"/>
  <c r="L22" i="19"/>
  <c r="M22" i="19"/>
  <c r="A23" i="19"/>
  <c r="B23" i="19" s="1"/>
  <c r="F23" i="19"/>
  <c r="G23" i="19"/>
  <c r="J23" i="19"/>
  <c r="K23" i="19"/>
  <c r="L23" i="19"/>
  <c r="M23" i="19"/>
  <c r="A24" i="19"/>
  <c r="B24" i="19" s="1"/>
  <c r="F24" i="19"/>
  <c r="G24" i="19"/>
  <c r="J24" i="19"/>
  <c r="K24" i="19"/>
  <c r="L24" i="19"/>
  <c r="M24" i="19"/>
  <c r="A25" i="19"/>
  <c r="B25" i="19" s="1"/>
  <c r="F25" i="19"/>
  <c r="G25" i="19"/>
  <c r="J25" i="19"/>
  <c r="K25" i="19"/>
  <c r="L25" i="19"/>
  <c r="M25" i="19"/>
  <c r="A28" i="19"/>
  <c r="B28" i="19" s="1"/>
  <c r="F28" i="19"/>
  <c r="G28" i="19"/>
  <c r="J28" i="19"/>
  <c r="K28" i="19"/>
  <c r="L28" i="19"/>
  <c r="M28" i="19"/>
  <c r="A31" i="19"/>
  <c r="F31" i="19"/>
  <c r="G31" i="19"/>
  <c r="J31" i="19"/>
  <c r="K31" i="19"/>
  <c r="L31" i="19"/>
  <c r="M31" i="19"/>
  <c r="A43" i="19"/>
  <c r="F43" i="19"/>
  <c r="G43" i="19"/>
  <c r="J43" i="19"/>
  <c r="K43" i="19"/>
  <c r="L43" i="19"/>
  <c r="M43" i="19"/>
  <c r="A45" i="19"/>
  <c r="F45" i="19"/>
  <c r="G45" i="19"/>
  <c r="J45" i="19"/>
  <c r="K45" i="19"/>
  <c r="L45" i="19"/>
  <c r="M45" i="19"/>
  <c r="A48" i="19"/>
  <c r="F48" i="19"/>
  <c r="G48" i="19"/>
  <c r="J48" i="19"/>
  <c r="K48" i="19"/>
  <c r="L48" i="19"/>
  <c r="M48" i="19"/>
  <c r="A52" i="19"/>
  <c r="B52" i="19" s="1"/>
  <c r="F52" i="19"/>
  <c r="G52" i="19"/>
  <c r="J52" i="19"/>
  <c r="K52" i="19"/>
  <c r="L52" i="19"/>
  <c r="M52" i="19"/>
  <c r="A54" i="19"/>
  <c r="F54" i="19"/>
  <c r="G54" i="19"/>
  <c r="J54" i="19"/>
  <c r="K54" i="19"/>
  <c r="L54" i="19"/>
  <c r="M54" i="19"/>
  <c r="A55" i="19"/>
  <c r="F55" i="19"/>
  <c r="G55" i="19"/>
  <c r="J55" i="19"/>
  <c r="K55" i="19"/>
  <c r="L55" i="19"/>
  <c r="M55" i="19"/>
  <c r="A54" i="13" l="1"/>
  <c r="B54" i="19"/>
  <c r="A55" i="13"/>
  <c r="B55" i="19"/>
  <c r="F56" i="19"/>
  <c r="A31" i="13"/>
  <c r="B31" i="19"/>
  <c r="A48" i="13"/>
  <c r="B48" i="19"/>
  <c r="A43" i="13"/>
  <c r="B43" i="19"/>
  <c r="B21" i="19"/>
  <c r="A45" i="13"/>
  <c r="B45" i="19"/>
  <c r="I54" i="19"/>
  <c r="H25" i="19"/>
  <c r="H54" i="19"/>
  <c r="G56" i="19"/>
  <c r="O56" i="19"/>
  <c r="N56" i="19"/>
  <c r="L56" i="19"/>
  <c r="J56" i="19"/>
  <c r="K56" i="19" l="1"/>
  <c r="M56" i="19" l="1"/>
  <c r="I10" i="19" l="1"/>
  <c r="I11" i="19"/>
  <c r="I13" i="19"/>
  <c r="I19" i="19"/>
  <c r="K26" i="3"/>
  <c r="K29" i="3"/>
  <c r="K30" i="3"/>
  <c r="K31" i="3"/>
  <c r="K35" i="3"/>
  <c r="K36" i="3"/>
  <c r="K37" i="3"/>
  <c r="K38" i="3"/>
  <c r="K40" i="3"/>
  <c r="K43" i="3"/>
  <c r="K42" i="3"/>
  <c r="K45" i="3"/>
  <c r="K49" i="3"/>
  <c r="K50" i="3"/>
  <c r="K52" i="3"/>
  <c r="K51" i="3"/>
  <c r="K44" i="3"/>
  <c r="K54" i="3"/>
  <c r="K27" i="3"/>
  <c r="K94" i="3"/>
  <c r="K56" i="3"/>
  <c r="K86" i="3"/>
  <c r="I31" i="19"/>
  <c r="K58" i="3"/>
  <c r="K59" i="3"/>
  <c r="K61" i="3"/>
  <c r="K62" i="3"/>
  <c r="K63" i="3"/>
  <c r="K66" i="3"/>
  <c r="K76" i="3"/>
  <c r="K78" i="3"/>
  <c r="I45" i="19"/>
  <c r="K83" i="3"/>
  <c r="K84" i="3"/>
  <c r="K87" i="3"/>
  <c r="K89" i="3"/>
  <c r="K93" i="3"/>
  <c r="K92" i="3"/>
  <c r="K95" i="3"/>
  <c r="E48" i="19" s="1"/>
  <c r="K96" i="3"/>
  <c r="K98" i="3"/>
  <c r="K99" i="3"/>
  <c r="K101" i="3"/>
  <c r="K104" i="3"/>
  <c r="K106" i="3"/>
  <c r="K105" i="3"/>
  <c r="K107" i="3"/>
  <c r="K110" i="3"/>
  <c r="K108" i="3"/>
  <c r="K112" i="3"/>
  <c r="K111" i="3"/>
  <c r="K113" i="3"/>
  <c r="E54" i="19" s="1"/>
  <c r="I55" i="19"/>
  <c r="I8" i="19"/>
  <c r="I5" i="19"/>
  <c r="H7" i="19"/>
  <c r="H9" i="19"/>
  <c r="H13" i="19"/>
  <c r="H15" i="19"/>
  <c r="H19" i="19"/>
  <c r="H22" i="19"/>
  <c r="J29" i="3"/>
  <c r="J30" i="3"/>
  <c r="J38" i="3"/>
  <c r="J39" i="3"/>
  <c r="J40" i="3"/>
  <c r="J43" i="3"/>
  <c r="J42" i="3"/>
  <c r="J45" i="3"/>
  <c r="H28" i="19"/>
  <c r="J49" i="3"/>
  <c r="J50" i="3"/>
  <c r="J52" i="3"/>
  <c r="J51" i="3"/>
  <c r="J53" i="3"/>
  <c r="J44" i="3"/>
  <c r="J54" i="3"/>
  <c r="J27" i="3"/>
  <c r="J94" i="3"/>
  <c r="J56" i="3"/>
  <c r="J86" i="3"/>
  <c r="J58" i="3"/>
  <c r="J59" i="3"/>
  <c r="J61" i="3"/>
  <c r="J62" i="3"/>
  <c r="J63" i="3"/>
  <c r="J64" i="3"/>
  <c r="J66" i="3"/>
  <c r="J75" i="3"/>
  <c r="J76" i="3"/>
  <c r="J78" i="3"/>
  <c r="H45" i="19"/>
  <c r="J83" i="3"/>
  <c r="J84" i="3"/>
  <c r="J87" i="3"/>
  <c r="J91" i="3"/>
  <c r="J89" i="3"/>
  <c r="J93" i="3"/>
  <c r="J92" i="3"/>
  <c r="J95" i="3"/>
  <c r="D48" i="19" s="1"/>
  <c r="J96" i="3"/>
  <c r="J98" i="3"/>
  <c r="J99" i="3"/>
  <c r="J101" i="3"/>
  <c r="J104" i="3"/>
  <c r="J106" i="3"/>
  <c r="J105" i="3"/>
  <c r="J107" i="3"/>
  <c r="J110" i="3"/>
  <c r="J108" i="3"/>
  <c r="J112" i="3"/>
  <c r="J111" i="3"/>
  <c r="J113" i="3"/>
  <c r="D54" i="19" s="1"/>
  <c r="J31" i="3"/>
  <c r="J37" i="3"/>
  <c r="J47" i="3"/>
  <c r="K15" i="3"/>
  <c r="J20" i="3"/>
  <c r="J5" i="3"/>
  <c r="K5" i="3"/>
  <c r="J26" i="3"/>
  <c r="J36" i="3"/>
  <c r="K39" i="3"/>
  <c r="K47" i="3"/>
  <c r="K55" i="3"/>
  <c r="K90" i="3"/>
  <c r="E47" i="19" s="1"/>
  <c r="K64" i="3"/>
  <c r="K73" i="3"/>
  <c r="K80" i="3"/>
  <c r="E42" i="19" s="1"/>
  <c r="K91" i="3"/>
  <c r="L115" i="3"/>
  <c r="I87" i="3" l="1"/>
  <c r="I94" i="3"/>
  <c r="I27" i="3"/>
  <c r="I64" i="3"/>
  <c r="I26" i="3"/>
  <c r="I84" i="3"/>
  <c r="I37" i="3"/>
  <c r="I99" i="3"/>
  <c r="I89" i="3"/>
  <c r="I38" i="3"/>
  <c r="I47" i="3"/>
  <c r="I36" i="3"/>
  <c r="I45" i="3"/>
  <c r="I59" i="3"/>
  <c r="I83" i="3"/>
  <c r="I50" i="3"/>
  <c r="I40" i="3"/>
  <c r="I78" i="3"/>
  <c r="I39" i="3"/>
  <c r="I31" i="3"/>
  <c r="I29" i="3"/>
  <c r="K57" i="3"/>
  <c r="E30" i="19" s="1"/>
  <c r="K97" i="3"/>
  <c r="E49" i="19" s="1"/>
  <c r="K81" i="3"/>
  <c r="E45" i="19" s="1"/>
  <c r="K17" i="3"/>
  <c r="E13" i="19" s="1"/>
  <c r="K33" i="3"/>
  <c r="J11" i="3"/>
  <c r="D9" i="19" s="1"/>
  <c r="K41" i="3"/>
  <c r="E27" i="19" s="1"/>
  <c r="K25" i="3"/>
  <c r="J14" i="3"/>
  <c r="J65" i="3"/>
  <c r="D32" i="19" s="1"/>
  <c r="K60" i="3"/>
  <c r="J97" i="3"/>
  <c r="D49" i="19" s="1"/>
  <c r="J57" i="3"/>
  <c r="D30" i="19" s="1"/>
  <c r="K68" i="3"/>
  <c r="E34" i="19" s="1"/>
  <c r="K109" i="3"/>
  <c r="E53" i="19" s="1"/>
  <c r="J48" i="3"/>
  <c r="D29" i="19" s="1"/>
  <c r="J17" i="3"/>
  <c r="D15" i="19" s="1"/>
  <c r="J81" i="3"/>
  <c r="K9" i="3"/>
  <c r="E8" i="19" s="1"/>
  <c r="J68" i="3"/>
  <c r="D34" i="19" s="1"/>
  <c r="I48" i="19"/>
  <c r="K14" i="3"/>
  <c r="K70" i="3"/>
  <c r="E36" i="19" s="1"/>
  <c r="K13" i="3"/>
  <c r="E11" i="19" s="1"/>
  <c r="J102" i="3"/>
  <c r="D51" i="19" s="1"/>
  <c r="J82" i="3"/>
  <c r="D44" i="19" s="1"/>
  <c r="J60" i="3"/>
  <c r="J55" i="3"/>
  <c r="J41" i="3"/>
  <c r="D27" i="19" s="1"/>
  <c r="J34" i="3"/>
  <c r="D26" i="19" s="1"/>
  <c r="H24" i="19"/>
  <c r="J23" i="3"/>
  <c r="D21" i="19" s="1"/>
  <c r="H21" i="19"/>
  <c r="J16" i="3"/>
  <c r="H12" i="19"/>
  <c r="J7" i="3"/>
  <c r="D6" i="19" s="1"/>
  <c r="H6" i="19"/>
  <c r="K77" i="3"/>
  <c r="E40" i="19" s="1"/>
  <c r="I43" i="19"/>
  <c r="K69" i="3"/>
  <c r="E35" i="19" s="1"/>
  <c r="K28" i="3"/>
  <c r="E23" i="19" s="1"/>
  <c r="I23" i="19"/>
  <c r="K32" i="3"/>
  <c r="I17" i="19"/>
  <c r="K79" i="3"/>
  <c r="E41" i="19" s="1"/>
  <c r="K21" i="3"/>
  <c r="I18" i="19"/>
  <c r="J33" i="3"/>
  <c r="J12" i="3"/>
  <c r="D5" i="19" s="1"/>
  <c r="H5" i="19"/>
  <c r="J15" i="3"/>
  <c r="H11" i="19"/>
  <c r="K20" i="3"/>
  <c r="I15" i="19"/>
  <c r="K11" i="3"/>
  <c r="E9" i="19" s="1"/>
  <c r="I9" i="19"/>
  <c r="J25" i="3"/>
  <c r="K88" i="3"/>
  <c r="E46" i="19" s="1"/>
  <c r="K46" i="3"/>
  <c r="J67" i="3"/>
  <c r="D33" i="19" s="1"/>
  <c r="J80" i="3"/>
  <c r="D42" i="19" s="1"/>
  <c r="J90" i="3"/>
  <c r="H31" i="19"/>
  <c r="K100" i="3"/>
  <c r="E50" i="19" s="1"/>
  <c r="K67" i="3"/>
  <c r="E33" i="19" s="1"/>
  <c r="K19" i="3"/>
  <c r="I14" i="19"/>
  <c r="J9" i="3"/>
  <c r="D8" i="19" s="1"/>
  <c r="H8" i="19"/>
  <c r="K114" i="3"/>
  <c r="E55" i="19" s="1"/>
  <c r="J100" i="3"/>
  <c r="D50" i="19" s="1"/>
  <c r="K22" i="3"/>
  <c r="E20" i="19" s="1"/>
  <c r="J8" i="3"/>
  <c r="D7" i="19" s="1"/>
  <c r="J114" i="3"/>
  <c r="D55" i="19" s="1"/>
  <c r="H55" i="19"/>
  <c r="J88" i="3"/>
  <c r="D46" i="19" s="1"/>
  <c r="J79" i="3"/>
  <c r="D41" i="19" s="1"/>
  <c r="J71" i="3"/>
  <c r="D37" i="19" s="1"/>
  <c r="H48" i="19"/>
  <c r="J46" i="3"/>
  <c r="J21" i="3"/>
  <c r="D18" i="19" s="1"/>
  <c r="H18" i="19"/>
  <c r="J13" i="3"/>
  <c r="H10" i="19"/>
  <c r="K8" i="3"/>
  <c r="E7" i="19" s="1"/>
  <c r="I7" i="19"/>
  <c r="K102" i="3"/>
  <c r="E51" i="19" s="1"/>
  <c r="K82" i="3"/>
  <c r="E44" i="19" s="1"/>
  <c r="E39" i="19"/>
  <c r="I22" i="19"/>
  <c r="K71" i="3"/>
  <c r="E37" i="19" s="1"/>
  <c r="J70" i="3"/>
  <c r="D36" i="19" s="1"/>
  <c r="J28" i="3"/>
  <c r="D23" i="19" s="1"/>
  <c r="H23" i="19"/>
  <c r="J32" i="3"/>
  <c r="H17" i="19"/>
  <c r="K7" i="3"/>
  <c r="E6" i="19" s="1"/>
  <c r="I6" i="19"/>
  <c r="K65" i="3"/>
  <c r="E32" i="19" s="1"/>
  <c r="K48" i="3"/>
  <c r="E29" i="19" s="1"/>
  <c r="I28" i="19"/>
  <c r="K34" i="3"/>
  <c r="I24" i="19"/>
  <c r="K23" i="3"/>
  <c r="E21" i="19" s="1"/>
  <c r="I21" i="19"/>
  <c r="K16" i="3"/>
  <c r="I12" i="19"/>
  <c r="J103" i="3"/>
  <c r="D52" i="19" s="1"/>
  <c r="H52" i="19"/>
  <c r="J19" i="3"/>
  <c r="H14" i="19"/>
  <c r="J109" i="3"/>
  <c r="D53" i="19" s="1"/>
  <c r="J77" i="3"/>
  <c r="D40" i="19" s="1"/>
  <c r="H43" i="19"/>
  <c r="J69" i="3"/>
  <c r="D35" i="19" s="1"/>
  <c r="K103" i="3"/>
  <c r="E52" i="19" s="1"/>
  <c r="I52" i="19"/>
  <c r="J35" i="3"/>
  <c r="I35" i="3" s="1"/>
  <c r="K53" i="3"/>
  <c r="I53" i="3" s="1"/>
  <c r="I110" i="3"/>
  <c r="I24" i="3" l="1"/>
  <c r="E14" i="19"/>
  <c r="D39" i="19"/>
  <c r="I74" i="3"/>
  <c r="B39" i="13" s="1"/>
  <c r="D31" i="19"/>
  <c r="D47" i="19"/>
  <c r="E25" i="19"/>
  <c r="E24" i="19"/>
  <c r="E26" i="19"/>
  <c r="E15" i="19"/>
  <c r="D10" i="19"/>
  <c r="E12" i="19"/>
  <c r="D12" i="19"/>
  <c r="D11" i="19"/>
  <c r="D25" i="19"/>
  <c r="E22" i="19"/>
  <c r="D22" i="19"/>
  <c r="E18" i="19"/>
  <c r="E43" i="19"/>
  <c r="D43" i="19"/>
  <c r="D14" i="19"/>
  <c r="E28" i="19"/>
  <c r="D24" i="19"/>
  <c r="D45" i="19"/>
  <c r="E31" i="19"/>
  <c r="D13" i="19"/>
  <c r="D19" i="19"/>
  <c r="E19" i="19"/>
  <c r="E17" i="19"/>
  <c r="D28" i="19"/>
  <c r="D17" i="19"/>
  <c r="I56" i="19"/>
  <c r="E56" i="19" s="1"/>
  <c r="H56" i="19"/>
  <c r="D56" i="19" s="1"/>
  <c r="I44" i="3"/>
  <c r="C56" i="19" l="1"/>
  <c r="S115" i="3"/>
  <c r="A23" i="13"/>
  <c r="I5" i="3" l="1"/>
  <c r="I66" i="3"/>
  <c r="I23" i="3"/>
  <c r="I112" i="3"/>
  <c r="C5" i="19" l="1"/>
  <c r="C21" i="19"/>
  <c r="I97" i="3"/>
  <c r="I101" i="3"/>
  <c r="I105" i="3"/>
  <c r="B49" i="13" l="1"/>
  <c r="C49" i="19"/>
  <c r="I95" i="3"/>
  <c r="I81" i="3"/>
  <c r="I69" i="3"/>
  <c r="I77" i="3"/>
  <c r="I107" i="3"/>
  <c r="I96" i="3"/>
  <c r="I93" i="3"/>
  <c r="I82" i="3"/>
  <c r="C39" i="19"/>
  <c r="I70" i="3"/>
  <c r="I65" i="3"/>
  <c r="I61" i="3"/>
  <c r="I103" i="3"/>
  <c r="I90" i="3"/>
  <c r="I57" i="3"/>
  <c r="I109" i="3"/>
  <c r="I100" i="3"/>
  <c r="I91" i="3"/>
  <c r="I80" i="3"/>
  <c r="I73" i="3"/>
  <c r="I68" i="3"/>
  <c r="I63" i="3"/>
  <c r="I58" i="3"/>
  <c r="I51" i="3"/>
  <c r="I102" i="3"/>
  <c r="I88" i="3"/>
  <c r="I79" i="3"/>
  <c r="I67" i="3"/>
  <c r="I62" i="3"/>
  <c r="I55" i="3"/>
  <c r="I52" i="3"/>
  <c r="I104" i="3"/>
  <c r="I71" i="3"/>
  <c r="I86" i="3"/>
  <c r="I56" i="3"/>
  <c r="I54" i="3"/>
  <c r="I108" i="3"/>
  <c r="I92" i="3"/>
  <c r="I75" i="3"/>
  <c r="I60" i="3"/>
  <c r="I49" i="3"/>
  <c r="I85" i="3"/>
  <c r="A25" i="13"/>
  <c r="C52" i="19" l="1"/>
  <c r="B45" i="13"/>
  <c r="B36" i="13"/>
  <c r="B44" i="13"/>
  <c r="B43" i="13"/>
  <c r="B33" i="13"/>
  <c r="B46" i="13"/>
  <c r="B31" i="13"/>
  <c r="B34" i="13"/>
  <c r="B48" i="13"/>
  <c r="B41" i="13"/>
  <c r="B51" i="13"/>
  <c r="B53" i="13"/>
  <c r="B30" i="13"/>
  <c r="B32" i="13"/>
  <c r="B40" i="13"/>
  <c r="B42" i="13"/>
  <c r="B35" i="13"/>
  <c r="B37" i="13"/>
  <c r="B47" i="13"/>
  <c r="C50" i="19"/>
  <c r="B50" i="13"/>
  <c r="C51" i="19"/>
  <c r="C41" i="19"/>
  <c r="C42" i="19"/>
  <c r="C32" i="19"/>
  <c r="C40" i="19"/>
  <c r="C36" i="19"/>
  <c r="C35" i="19"/>
  <c r="C46" i="19"/>
  <c r="C37" i="19"/>
  <c r="C53" i="19"/>
  <c r="C44" i="19"/>
  <c r="C48" i="19"/>
  <c r="C30" i="19"/>
  <c r="C33" i="19"/>
  <c r="C34" i="19"/>
  <c r="C47" i="19"/>
  <c r="C43" i="19"/>
  <c r="C45" i="19"/>
  <c r="C31" i="19"/>
  <c r="Q115" i="3" l="1"/>
  <c r="P115" i="3"/>
  <c r="U115" i="3"/>
  <c r="T115" i="3"/>
  <c r="I13" i="3" l="1"/>
  <c r="A5" i="13"/>
  <c r="B5" i="13" l="1"/>
  <c r="I20" i="3"/>
  <c r="I41" i="3"/>
  <c r="I7" i="3"/>
  <c r="I11" i="3"/>
  <c r="I15" i="3"/>
  <c r="I43" i="3"/>
  <c r="I8" i="3"/>
  <c r="I46" i="3"/>
  <c r="I33" i="3"/>
  <c r="I21" i="3"/>
  <c r="I17" i="3"/>
  <c r="I42" i="3"/>
  <c r="I34" i="3"/>
  <c r="I25" i="3"/>
  <c r="I32" i="3"/>
  <c r="I16" i="3"/>
  <c r="I28" i="3"/>
  <c r="I22" i="3"/>
  <c r="I19" i="3"/>
  <c r="I14" i="3"/>
  <c r="I30" i="3"/>
  <c r="I48" i="3"/>
  <c r="I9" i="3"/>
  <c r="C7" i="19" l="1"/>
  <c r="C9" i="19"/>
  <c r="B25" i="13"/>
  <c r="C11" i="19"/>
  <c r="C8" i="19"/>
  <c r="C6" i="19"/>
  <c r="C23" i="19"/>
  <c r="C22" i="19"/>
  <c r="B23" i="13"/>
  <c r="C26" i="19"/>
  <c r="C20" i="19"/>
  <c r="B20" i="13"/>
  <c r="C27" i="19"/>
  <c r="C13" i="19"/>
  <c r="C17" i="19"/>
  <c r="C28" i="19"/>
  <c r="C29" i="19"/>
  <c r="C14" i="19"/>
  <c r="C19" i="19"/>
  <c r="C18" i="19"/>
  <c r="C15" i="19"/>
  <c r="C25" i="19"/>
  <c r="C24" i="19"/>
  <c r="C12" i="19"/>
  <c r="R115" i="3"/>
  <c r="J115" i="3" s="1"/>
  <c r="I113" i="3" l="1"/>
  <c r="A21" i="13"/>
  <c r="B21" i="13" s="1"/>
  <c r="B54" i="13" l="1"/>
  <c r="C54" i="19"/>
  <c r="A52" i="13"/>
  <c r="B52" i="13" s="1"/>
  <c r="A28" i="13"/>
  <c r="B28" i="13" s="1"/>
  <c r="A27" i="13"/>
  <c r="B27" i="13" s="1"/>
  <c r="A26" i="13"/>
  <c r="B26" i="13" s="1"/>
  <c r="A24" i="13"/>
  <c r="B24" i="13" s="1"/>
  <c r="A22" i="13"/>
  <c r="B22" i="13" s="1"/>
  <c r="A19" i="13"/>
  <c r="B19" i="13" s="1"/>
  <c r="A18" i="13"/>
  <c r="B18" i="13" s="1"/>
  <c r="A17" i="13"/>
  <c r="B17" i="13" s="1"/>
  <c r="A15" i="13"/>
  <c r="B15" i="13" s="1"/>
  <c r="A14" i="13"/>
  <c r="B14" i="13" s="1"/>
  <c r="A13" i="13"/>
  <c r="B13" i="13" s="1"/>
  <c r="A12" i="13"/>
  <c r="B12" i="13" s="1"/>
  <c r="A11" i="13"/>
  <c r="B11" i="13" s="1"/>
  <c r="A10" i="13"/>
  <c r="A9" i="13"/>
  <c r="B9" i="13" s="1"/>
  <c r="A8" i="13"/>
  <c r="B8" i="13" s="1"/>
  <c r="A7" i="13"/>
  <c r="B7" i="13" s="1"/>
  <c r="A6" i="13"/>
  <c r="B6" i="13" l="1"/>
  <c r="A4" i="13"/>
  <c r="C57" i="13"/>
  <c r="D57" i="13"/>
  <c r="B57" i="13" l="1"/>
  <c r="I114" i="3" l="1"/>
  <c r="B55" i="13" l="1"/>
  <c r="C55" i="19"/>
  <c r="A29" i="13"/>
  <c r="I98" i="3"/>
  <c r="M115" i="3"/>
  <c r="I106" i="3"/>
  <c r="B29" i="13" l="1"/>
  <c r="K115" i="3"/>
  <c r="I115" i="3" s="1"/>
  <c r="K12" i="3"/>
  <c r="E10" i="19" s="1"/>
  <c r="I12" i="3" l="1"/>
  <c r="E5" i="19"/>
  <c r="B10" i="13" l="1"/>
  <c r="C10" i="19"/>
</calcChain>
</file>

<file path=xl/sharedStrings.xml><?xml version="1.0" encoding="utf-8"?>
<sst xmlns="http://schemas.openxmlformats.org/spreadsheetml/2006/main" count="814" uniqueCount="352">
  <si>
    <t>Institutionsnavn</t>
  </si>
  <si>
    <t>Hørkram</t>
  </si>
  <si>
    <t>Total</t>
  </si>
  <si>
    <t>Børnehuset Birkhøj</t>
  </si>
  <si>
    <t>Børnehuset Solbjerg</t>
  </si>
  <si>
    <t>Børnehuset Søndersø</t>
  </si>
  <si>
    <t>Dalgårdens Børnehus</t>
  </si>
  <si>
    <t>Farumsødal</t>
  </si>
  <si>
    <t>Krudthuset</t>
  </si>
  <si>
    <t>Lynghuset</t>
  </si>
  <si>
    <t>Plejecenteret Solbjerghaven</t>
  </si>
  <si>
    <t>Nordvænget Vuggestue</t>
  </si>
  <si>
    <t>Lillevang - Køkken</t>
  </si>
  <si>
    <t>Børnehuset Bøgely</t>
  </si>
  <si>
    <t>Økologi %</t>
  </si>
  <si>
    <t>Hareskov Børnehus</t>
  </si>
  <si>
    <t>Skovgården</t>
  </si>
  <si>
    <t>Ryet Børnehus</t>
  </si>
  <si>
    <t>Espebo Børnecenter</t>
  </si>
  <si>
    <t>Furesø AdHd</t>
  </si>
  <si>
    <t>Børnehuset Kirke Værløse</t>
  </si>
  <si>
    <t>Åkanden</t>
  </si>
  <si>
    <t>Lillevang - Blommehaven</t>
  </si>
  <si>
    <t>Lillevang - Magnoliehaven</t>
  </si>
  <si>
    <t>Lillevang - Syrenhaven</t>
  </si>
  <si>
    <t>Hareskov skole - lærerforplejning</t>
  </si>
  <si>
    <t>Børnehuset Birkedal</t>
  </si>
  <si>
    <t>Solvang FFO, Solvognen</t>
  </si>
  <si>
    <t>Sundhedsplejen, Farum</t>
  </si>
  <si>
    <t>Økologiprocenter - alle køkkener</t>
  </si>
  <si>
    <t>Lille Værløse Skole, Autisme afdelingen</t>
  </si>
  <si>
    <t>Øko kg</t>
  </si>
  <si>
    <t>Omfattet kg</t>
  </si>
  <si>
    <t>Omfattet kg=samlet køb i kilo fraregnet salt, flaskevand, vildt, vilde fisk og nonfood</t>
  </si>
  <si>
    <t>Farum Vejgaard, BH/VS</t>
  </si>
  <si>
    <t>Svanepunktet, Rehab</t>
  </si>
  <si>
    <t>Dalgårdens Børnehus, møde</t>
  </si>
  <si>
    <t>Rådhuset Furesø Kommune + frugtordning</t>
  </si>
  <si>
    <t>Guld</t>
  </si>
  <si>
    <t>Sølv</t>
  </si>
  <si>
    <t>Bronze</t>
  </si>
  <si>
    <t>Det økologiske Spisemærke</t>
  </si>
  <si>
    <t>30-60%</t>
  </si>
  <si>
    <t>60-90%</t>
  </si>
  <si>
    <t>90-100%</t>
  </si>
  <si>
    <t>Sprogcenter Furesø</t>
  </si>
  <si>
    <t>Børnehuset Mimers Brønd</t>
  </si>
  <si>
    <t>Lille Værløse Skoles FFO 3 (Klub24 )</t>
  </si>
  <si>
    <t xml:space="preserve">Lillevang - Kornelhaven </t>
  </si>
  <si>
    <t>JDE</t>
  </si>
  <si>
    <t>Genoptræningscenteret</t>
  </si>
  <si>
    <t>Driftsgården</t>
  </si>
  <si>
    <t>Hjemmeplejen+Hjemme-og Sygeplejen</t>
  </si>
  <si>
    <t>Børnehuset Atlantis (Tidl. Børnehusene, Ryttergårdsvej)</t>
  </si>
  <si>
    <t>Furesø Skole- og Familiehus (inkl. Rådgivning, vejledn. og støtte)</t>
  </si>
  <si>
    <t>Børnehuset Vingesus</t>
  </si>
  <si>
    <t>Furesø Museer</t>
  </si>
  <si>
    <t>Hareskov Børnehus, personale</t>
  </si>
  <si>
    <t>Græshoppen, madpakker</t>
  </si>
  <si>
    <t>Lyngholmskolen, lærerforplejning + Gruppeordning(tidl. Furesøskolen)</t>
  </si>
  <si>
    <t>I alt %</t>
  </si>
  <si>
    <t xml:space="preserve">I alt stk. </t>
  </si>
  <si>
    <t>Økologiprocenter - alle kommunale køkkener med smileyordning</t>
  </si>
  <si>
    <t>Syvstjernevænge, Bofællesskabet</t>
  </si>
  <si>
    <t>Solhøjgård, Fritidshjem, selvejende</t>
  </si>
  <si>
    <t>Furesø Musikskole</t>
  </si>
  <si>
    <t>Lyngholmskolen, madkundskab</t>
  </si>
  <si>
    <t>Ryetbo</t>
  </si>
  <si>
    <t>Humlehaven, specialbørnehave</t>
  </si>
  <si>
    <t>Solvangskolen, madkundskab</t>
  </si>
  <si>
    <t xml:space="preserve">Syvstjerneklubben, møder </t>
  </si>
  <si>
    <t xml:space="preserve">Syvstjerneskolen, madkundskab </t>
  </si>
  <si>
    <t>Solvangskolen, skolens fælleskøb</t>
  </si>
  <si>
    <t>Røde Sol (Madpakker og forældrefrugt)</t>
  </si>
  <si>
    <t>Hareskov skole, madkundskab</t>
  </si>
  <si>
    <t>Furesø Ungdomsskole</t>
  </si>
  <si>
    <t>Furesøgård, fritidsklub</t>
  </si>
  <si>
    <t xml:space="preserve">Egeskolen, skolens fælles køb </t>
  </si>
  <si>
    <t>Egeskolen, kantine</t>
  </si>
  <si>
    <t>Børnehuset Skovbakken</t>
  </si>
  <si>
    <t>Værløse Svømmehal</t>
  </si>
  <si>
    <t>Skolelandbruget</t>
  </si>
  <si>
    <t xml:space="preserve">Hareskov FFO, Læsehuset  </t>
  </si>
  <si>
    <t>HB Kødgros/Driftsgården /Tvilling/Rema vedr. Lillevang</t>
  </si>
  <si>
    <r>
      <rPr>
        <b/>
        <sz val="11"/>
        <color rgb="FF92D050"/>
        <rFont val="Calibri"/>
        <family val="2"/>
        <scheme val="minor"/>
      </rPr>
      <t>Div.købmand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rgb="FF92D050"/>
        <rFont val="Calibri"/>
        <family val="2"/>
        <scheme val="minor"/>
      </rPr>
      <t>Kantinehaver Stavnsholt / Lynghuset/</t>
    </r>
    <r>
      <rPr>
        <b/>
        <sz val="11"/>
        <rFont val="Calibri"/>
        <family val="2"/>
        <scheme val="minor"/>
      </rPr>
      <t>Ryetbo</t>
    </r>
    <r>
      <rPr>
        <b/>
        <sz val="11"/>
        <color rgb="FF92D050"/>
        <rFont val="Calibri"/>
        <family val="2"/>
        <scheme val="minor"/>
      </rPr>
      <t>/Natursli</t>
    </r>
    <r>
      <rPr>
        <b/>
        <sz val="11"/>
        <color theme="1"/>
        <rFont val="Calibri"/>
        <family val="2"/>
        <scheme val="minor"/>
      </rPr>
      <t>k/Premier IS/</t>
    </r>
    <r>
      <rPr>
        <b/>
        <sz val="11"/>
        <color rgb="FF92D050"/>
        <rFont val="Calibri"/>
        <family val="2"/>
        <scheme val="minor"/>
      </rPr>
      <t>Ristet Rug</t>
    </r>
  </si>
  <si>
    <t>Kommunal Tandpleje/Tandklinikken Søndersøskolen, Nygårdsterrasserne, Kirke Værløse</t>
  </si>
  <si>
    <t>Søndersø FFO 1</t>
  </si>
  <si>
    <t>Søndersø FFO 2, Solbjerggaard</t>
  </si>
  <si>
    <t>Lille Værløse Skole, Madkundskab</t>
  </si>
  <si>
    <t>Madhus, Det danske - ekstern opgørelse uden kg, kun øko% oplyses</t>
  </si>
  <si>
    <t>Furesø Bibliotek, frugt- og kaffeordning</t>
  </si>
  <si>
    <t>Svanepunktet Plejecenter, Svane</t>
  </si>
  <si>
    <t>Svanepunktet, Bofællesskabet</t>
  </si>
  <si>
    <t>Syvstjerneskolen, møder og kontor</t>
  </si>
  <si>
    <t>Broen, specialtilbud 0. -9- kl.</t>
  </si>
  <si>
    <t>Fritidshjemmenes Andelsforening á 1986</t>
  </si>
  <si>
    <t>Paletten (Valhalla)</t>
  </si>
  <si>
    <t>Børnehuset Nørreskoven</t>
  </si>
  <si>
    <t>Anais Kulturcafé, Farum Kulturhus</t>
  </si>
  <si>
    <t>HB Kødgros, Tvilling, Driftsgården</t>
  </si>
  <si>
    <t>Dagplejen, kaffe (mad fra Mimers Brønd)</t>
  </si>
  <si>
    <t>Børnehuset Lyngholm nr. 15 (vuggest.)</t>
  </si>
  <si>
    <t>Børnehuset Lyngholm nr. 17 (børneh.)</t>
  </si>
  <si>
    <t>Stavnsholtskolen, kantinen. Har skolehaver</t>
  </si>
  <si>
    <t>Fars Køkkenskole</t>
  </si>
  <si>
    <t>Hareskov Skole, natur</t>
  </si>
  <si>
    <t>Fiskebæk Naturskole</t>
  </si>
  <si>
    <t>TO numre; 200079202; 200531038</t>
  </si>
  <si>
    <t>TO numre; 200525105; 200525099</t>
  </si>
  <si>
    <t>Hørkram kundenummer</t>
  </si>
  <si>
    <t xml:space="preserve">JDE og BKI                                        </t>
  </si>
  <si>
    <t>Lille Værløse Skole, adm. (kaffe)</t>
  </si>
  <si>
    <t>Hareskov FFO - Gasværket, klub</t>
  </si>
  <si>
    <t>Skiftesporet/Social Psykiatrien</t>
  </si>
  <si>
    <t>Lille Værløse Skoles FFO 1 (Miniklub)</t>
  </si>
  <si>
    <t>Lille Værløse Skoles FFO 2 (Toppen)</t>
  </si>
  <si>
    <t>Lillestjernen FFO</t>
  </si>
  <si>
    <t>Syvstjerneklubben &amp; kantine</t>
  </si>
  <si>
    <t>Institutionstype</t>
  </si>
  <si>
    <t>Børneinstitution</t>
  </si>
  <si>
    <t>FFO+Klub</t>
  </si>
  <si>
    <t>Social+Kultur</t>
  </si>
  <si>
    <t>Skolekantiner</t>
  </si>
  <si>
    <t>Madkundskab</t>
  </si>
  <si>
    <t>Ældre</t>
  </si>
  <si>
    <t>Rådhus</t>
  </si>
  <si>
    <t>Møder m.v.</t>
  </si>
  <si>
    <t>Cassiopeia, Galaksen. Opgøres af Cassiopeia</t>
  </si>
  <si>
    <t/>
  </si>
  <si>
    <t>Nettovægt (kg)</t>
  </si>
  <si>
    <t>Grundvand</t>
  </si>
  <si>
    <t>KundeNr</t>
  </si>
  <si>
    <t>KundeNavn</t>
  </si>
  <si>
    <t>Omf.</t>
  </si>
  <si>
    <t>Øko.</t>
  </si>
  <si>
    <t>Øko%</t>
  </si>
  <si>
    <t xml:space="preserve">Ej Omf. </t>
  </si>
  <si>
    <t>Liter skånet</t>
  </si>
  <si>
    <t>Stavnsholt Børnehus</t>
  </si>
  <si>
    <t>Farum Nordby Børnehus</t>
  </si>
  <si>
    <t>Daginstitutionen Solstrålen</t>
  </si>
  <si>
    <t>Svanepunktet Plejecenter</t>
  </si>
  <si>
    <t>Stavnholtskolen</t>
  </si>
  <si>
    <t>Social Psykiatrien</t>
  </si>
  <si>
    <t>Børnehuset Lyngholm Børnehave</t>
  </si>
  <si>
    <t>Paletten</t>
  </si>
  <si>
    <t>Lille Værløse Skole</t>
  </si>
  <si>
    <t>Fritidsklubben Gasværket</t>
  </si>
  <si>
    <t>Ll Værløse Skole Ffo2 Toppen</t>
  </si>
  <si>
    <t>Lille Værløse Skole Ffo 1</t>
  </si>
  <si>
    <t>Børnehuset Lyngholm Vuggestue</t>
  </si>
  <si>
    <t>Ffo Lillestjernen</t>
  </si>
  <si>
    <t>Værløse Rådhus Frugt</t>
  </si>
  <si>
    <t>Cassiopeia Værløse Galaksen</t>
  </si>
  <si>
    <t>Slottet Gasværket</t>
  </si>
  <si>
    <t>Farum Vejgård Vuggestuen</t>
  </si>
  <si>
    <t>Børnehuset Atlantis</t>
  </si>
  <si>
    <t>Vingesus</t>
  </si>
  <si>
    <t>Lillestjernen Møde</t>
  </si>
  <si>
    <t>Syvstjerneskolen *Klub*</t>
  </si>
  <si>
    <t>Syvstjerneskolen</t>
  </si>
  <si>
    <t>Værløse Rådhus</t>
  </si>
  <si>
    <t>Aktivitetscenteret Skovgården</t>
  </si>
  <si>
    <t>Kornelhaven Gr. 3</t>
  </si>
  <si>
    <t>Åkanden Børnehus - Køkken</t>
  </si>
  <si>
    <t>Børnehuset Egetræet</t>
  </si>
  <si>
    <t>Blommehaven Gr. 3</t>
  </si>
  <si>
    <t>Magnoliehaven  - Gruppe 3</t>
  </si>
  <si>
    <t>Syrenhaven Gr. 1</t>
  </si>
  <si>
    <t>Lillevang *Køkken</t>
  </si>
  <si>
    <t>Rækkemærkater</t>
  </si>
  <si>
    <t>Hovedtotal</t>
  </si>
  <si>
    <t>Sum af Omfattet kg</t>
  </si>
  <si>
    <t>Sum af Øko kg</t>
  </si>
  <si>
    <t>Registreret hos FVST</t>
  </si>
  <si>
    <t>Ikke registreret hos FVST</t>
  </si>
  <si>
    <t>Sum af Øko%</t>
  </si>
  <si>
    <t>Nemlig.com</t>
  </si>
  <si>
    <t>Børnehuset Birkhøj - møder</t>
  </si>
  <si>
    <t>Lillestjernen FFO, møder</t>
  </si>
  <si>
    <t>Lyngholm FFO</t>
  </si>
  <si>
    <t xml:space="preserve">Stavnsholt FFO (Raketten+Turbodragen) </t>
  </si>
  <si>
    <t>Hareskov FFO Kaffe</t>
  </si>
  <si>
    <t xml:space="preserve">Søndersø, Botræningstilbud </t>
  </si>
  <si>
    <t>Customer number</t>
  </si>
  <si>
    <t>Customer name</t>
  </si>
  <si>
    <t>Bofællesskabet  Svanepunktet</t>
  </si>
  <si>
    <t>Bofællesskabet Syvstjerne Vænge</t>
  </si>
  <si>
    <t>Egeskolen</t>
  </si>
  <si>
    <t>Farumsødal integreret institution</t>
  </si>
  <si>
    <t>FFO Lillestjernen</t>
  </si>
  <si>
    <t>Ffo Lyngholm</t>
  </si>
  <si>
    <t>FFO Stavnsholt</t>
  </si>
  <si>
    <t>Fritidsklubben Solbjerggård</t>
  </si>
  <si>
    <t>Fritids-ungdomsklubben Regnbuen</t>
  </si>
  <si>
    <t>Furesøgaard fritidsklub</t>
  </si>
  <si>
    <t>Hareskov FFO</t>
  </si>
  <si>
    <t>Hareskov Skole</t>
  </si>
  <si>
    <t>Hareskov skole</t>
  </si>
  <si>
    <t>Lille Værløse Skole/ Madkundskab</t>
  </si>
  <si>
    <t>Lillestjernen</t>
  </si>
  <si>
    <t>Solbjerghaven</t>
  </si>
  <si>
    <t>Solvang ffo</t>
  </si>
  <si>
    <t>Solvangskolen</t>
  </si>
  <si>
    <t>Specialbørnehaven Humlehaven</t>
  </si>
  <si>
    <t>Stavnsholtskolen</t>
  </si>
  <si>
    <t>Syvstjerneklubben</t>
  </si>
  <si>
    <t>Søndersø Botræningstilbud</t>
  </si>
  <si>
    <t>Søndersøskolen</t>
  </si>
  <si>
    <t>UngFuresø</t>
  </si>
  <si>
    <t>Lille Værløse Skole, kantinen</t>
  </si>
  <si>
    <t>Stavnsholtskolen, madkundskab og møder</t>
  </si>
  <si>
    <t>Søndersøskolen - kontor</t>
  </si>
  <si>
    <t>Søndersøskolen - madkundskab</t>
  </si>
  <si>
    <t>Lyngholmskolen</t>
  </si>
  <si>
    <t>Lyngholmskolen *Kontor*</t>
  </si>
  <si>
    <t>Furesø Rehabilitering</t>
  </si>
  <si>
    <t>to numre; 200106717+200042992</t>
  </si>
  <si>
    <t>Furesø familiehus</t>
  </si>
  <si>
    <t>Lille Værløse Skole FFO (Jonstrup afd.)</t>
  </si>
  <si>
    <t>Furesø tandpleje</t>
  </si>
  <si>
    <t>Solstrålen</t>
  </si>
  <si>
    <t>Lyngholmskolen, kantinen</t>
  </si>
  <si>
    <t>Lyngholmskolen, Administration (gul dør)</t>
  </si>
  <si>
    <t>Lille Værløse Skole, gruppeordningen</t>
  </si>
  <si>
    <t>syvstjerneskolen</t>
  </si>
  <si>
    <t>Stavnsholt Børnehus, integr.</t>
  </si>
  <si>
    <t>EKG</t>
  </si>
  <si>
    <t>990028480</t>
  </si>
  <si>
    <t>5798008526497</t>
  </si>
  <si>
    <t>Furesø Kommune SKI 50.90</t>
  </si>
  <si>
    <t>Solvangskolen Hjemkundskab</t>
  </si>
  <si>
    <t>Weight in gram for non-ecology items</t>
  </si>
  <si>
    <t>Total weight in gram</t>
  </si>
  <si>
    <t>Børnehuset Siv</t>
  </si>
  <si>
    <t>Furesø Kom. Miljøafd.</t>
  </si>
  <si>
    <t>lille Værløse skole</t>
  </si>
  <si>
    <t>IT-Forsyningen</t>
  </si>
  <si>
    <t>Lyngholmskolen Lg</t>
  </si>
  <si>
    <t>Pl.Hj. Lillev. Afd. Rosenhaven</t>
  </si>
  <si>
    <t>To numre; 200159676; 200220246</t>
  </si>
  <si>
    <t>Lillevang - Rosenhaven</t>
  </si>
  <si>
    <t>Røde Sol</t>
  </si>
  <si>
    <t>Furesø Kommunale Tandpleje</t>
  </si>
  <si>
    <t>Kulturhuset Galaksen</t>
  </si>
  <si>
    <r>
      <t>Lillevang (Rokkedyssegård +Rema)</t>
    </r>
    <r>
      <rPr>
        <b/>
        <sz val="11"/>
        <color rgb="FF92D050"/>
        <rFont val="Calibri"/>
        <family val="2"/>
        <scheme val="minor"/>
      </rPr>
      <t>/Lynghuset/Værløse Svømmehal (Natursli</t>
    </r>
    <r>
      <rPr>
        <b/>
        <sz val="11"/>
        <color theme="1"/>
        <rFont val="Calibri"/>
        <family val="2"/>
        <scheme val="minor"/>
      </rPr>
      <t>k/Premier IS)</t>
    </r>
  </si>
  <si>
    <t>4. kvartal 24</t>
  </si>
  <si>
    <t>Periode: 01-10-2024 .. 31-12-2024</t>
  </si>
  <si>
    <t>5798008526589</t>
  </si>
  <si>
    <t>Customer email</t>
  </si>
  <si>
    <t>Customer ean number</t>
  </si>
  <si>
    <r>
      <t xml:space="preserve">Weight in </t>
    </r>
    <r>
      <rPr>
        <b/>
        <sz val="10"/>
        <rFont val="Arial"/>
        <family val="2"/>
      </rPr>
      <t>gram</t>
    </r>
    <r>
      <rPr>
        <b/>
        <sz val="10"/>
        <color theme="1"/>
        <rFont val="Arial"/>
        <family val="2"/>
      </rPr>
      <t xml:space="preserve"> for ecology items</t>
    </r>
  </si>
  <si>
    <t>Weight in kilo for ecology items</t>
  </si>
  <si>
    <t>Weight in kilo for non-ecology items</t>
  </si>
  <si>
    <t>Total weight in kilo</t>
  </si>
  <si>
    <t>Ecology weight in gram in % of total weight in kilo</t>
  </si>
  <si>
    <t>sondersoskolen@furesoe.dk</t>
  </si>
  <si>
    <t>5798008526596</t>
  </si>
  <si>
    <t>ttk@furesoe.dk</t>
  </si>
  <si>
    <t>5798008506925</t>
  </si>
  <si>
    <t>lwd@furesoe.dk</t>
  </si>
  <si>
    <t>5798008504020</t>
  </si>
  <si>
    <t>kala@furesoe.dk</t>
  </si>
  <si>
    <t>5798008507199</t>
  </si>
  <si>
    <t>konto@furesoegaard.dk</t>
  </si>
  <si>
    <t>5798008504983</t>
  </si>
  <si>
    <t>syvstjerneklubben@furesoe.dk</t>
  </si>
  <si>
    <t>stavnsholtskolen@furesoe.dk</t>
  </si>
  <si>
    <t>5798008504631</t>
  </si>
  <si>
    <t>ma@furesoe.dk</t>
  </si>
  <si>
    <t>5798008526565</t>
  </si>
  <si>
    <t>peter.norager.job@gmail.com</t>
  </si>
  <si>
    <t>5798008507243</t>
  </si>
  <si>
    <t>nemlig@hareskov-ffo.dk</t>
  </si>
  <si>
    <t>5798008526435</t>
  </si>
  <si>
    <t>kikiklarskov@yahoo.dk</t>
  </si>
  <si>
    <t>5798008507229</t>
  </si>
  <si>
    <t>hareskovskole@furesoe.dk</t>
  </si>
  <si>
    <t>lep@furesoe.dk</t>
  </si>
  <si>
    <t>5798008526602</t>
  </si>
  <si>
    <t>egeskolenkantine@gmail.com</t>
  </si>
  <si>
    <t>info@bhsiv.dk</t>
  </si>
  <si>
    <t>5798008504938</t>
  </si>
  <si>
    <t>syvstjerneskolen@furesoe.dk</t>
  </si>
  <si>
    <t>pernille.hoejer.iversen@fureskoler.dk</t>
  </si>
  <si>
    <t>muj@furesoe.dk</t>
  </si>
  <si>
    <t>5798008507519</t>
  </si>
  <si>
    <t>heho@furesoe.dk</t>
  </si>
  <si>
    <t>5798008504440</t>
  </si>
  <si>
    <t>lillestjernen@furesoe.dk</t>
  </si>
  <si>
    <t>5798008526466</t>
  </si>
  <si>
    <t>mathias.munck.soee-jensen@fureskoler.dk</t>
  </si>
  <si>
    <t>srp1@furesoe.dk</t>
  </si>
  <si>
    <t>5798008507656</t>
  </si>
  <si>
    <t>lar@furesoe.dk</t>
  </si>
  <si>
    <t>5798008504365</t>
  </si>
  <si>
    <t>sprogcenter@furesoe.dk</t>
  </si>
  <si>
    <t>5798008503962</t>
  </si>
  <si>
    <t>visv@furesoe.dk</t>
  </si>
  <si>
    <t>5798008504396</t>
  </si>
  <si>
    <t>jeh3@furesoe.dk</t>
  </si>
  <si>
    <t>5798008507762</t>
  </si>
  <si>
    <t>info@it-forsyningen.dk</t>
  </si>
  <si>
    <t>5798008803680</t>
  </si>
  <si>
    <t>asf-botilbud@furesoe.dk</t>
  </si>
  <si>
    <t>5798008506826</t>
  </si>
  <si>
    <t>ksp6@furesoe.dk</t>
  </si>
  <si>
    <t>5798008526701</t>
  </si>
  <si>
    <t>ahc@furesoe.dk</t>
  </si>
  <si>
    <t>5798008504624</t>
  </si>
  <si>
    <t>susi.andersen@fureskoler.dk</t>
  </si>
  <si>
    <t>juli301s@fureskoler.dk</t>
  </si>
  <si>
    <t>5798008526572</t>
  </si>
  <si>
    <t>lesd@furesoe.dk</t>
  </si>
  <si>
    <t>5798008526411</t>
  </si>
  <si>
    <t>atbf@furesoe.dk</t>
  </si>
  <si>
    <t>5798008504327</t>
  </si>
  <si>
    <t>trr1@furesoe.dk</t>
  </si>
  <si>
    <t>pipa@furesoe.dk</t>
  </si>
  <si>
    <t>5798008504297</t>
  </si>
  <si>
    <t>mph8@furesoe.dk</t>
  </si>
  <si>
    <t>5798008526541</t>
  </si>
  <si>
    <t>bu-solvangfritidstilbud@furesoe.dk</t>
  </si>
  <si>
    <t>5798008507212</t>
  </si>
  <si>
    <t>henje@furesoe.dk</t>
  </si>
  <si>
    <t>5798008503948</t>
  </si>
  <si>
    <t>Furesø Kommune</t>
  </si>
  <si>
    <t>ammo@furesoe.dk</t>
  </si>
  <si>
    <t>5798008507779</t>
  </si>
  <si>
    <t>solbjerghavenplejecenter@furesoe.dk</t>
  </si>
  <si>
    <t>5798008526657</t>
  </si>
  <si>
    <t>tbl2@furesoe.dk</t>
  </si>
  <si>
    <t>5798008507274</t>
  </si>
  <si>
    <t>solvangskolen@furesoe.dk</t>
  </si>
  <si>
    <t>dann2567@fureskoler.dk</t>
  </si>
  <si>
    <t>Birkhøj</t>
  </si>
  <si>
    <t>seem0019@furedagtilbud.dk</t>
  </si>
  <si>
    <t>5798008504358</t>
  </si>
  <si>
    <t>lgp1@furesoe.dk</t>
  </si>
  <si>
    <t>gsv1@furesoe.dk</t>
  </si>
  <si>
    <t>5798008527425</t>
  </si>
  <si>
    <t>Driftgården - Furesø Kommune</t>
  </si>
  <si>
    <t>aop@furesoe.dk</t>
  </si>
  <si>
    <t>5798008526770</t>
  </si>
  <si>
    <t>ldr1@furesoe.dk</t>
  </si>
  <si>
    <t>mkk1@furesoe.dk</t>
  </si>
  <si>
    <t>inh1@furesoe.dk</t>
  </si>
  <si>
    <t>5798008504525</t>
  </si>
  <si>
    <t>Nemlig kundenummer 1</t>
  </si>
  <si>
    <t>Nemlig kundenummer 2</t>
  </si>
  <si>
    <t>Nemlig kundenummer 3</t>
  </si>
  <si>
    <t>Nemlig kundenummer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</si>
</sst>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 * #,##0.000_ ;_ * \-#,##0.000_ ;_ * &quot;-&quot;??_ ;_ @_ "/>
    <numFmt numFmtId="167" formatCode="#,##0_ ;\-#,##0\ "/>
    <numFmt numFmtId="168" formatCode="_ * #,##0.0000_ ;_ * \-#,##0.0000_ ;_ * &quot;-&quot;??_ ;_ @_ "/>
    <numFmt numFmtId="169" formatCode="0.0"/>
    <numFmt numFmtId="170" formatCode="[$-10406]#,##0.0"/>
    <numFmt numFmtId="171" formatCode="###,000"/>
    <numFmt numFmtId="172" formatCode="[$-10406]#,##0.00%"/>
    <numFmt numFmtId="173" formatCode="[$-10406]#,##0.0;\(#,##0.0\)"/>
    <numFmt numFmtId="174" formatCode="[$-10406]#,##0;\-#,##0"/>
    <numFmt numFmtId="175" formatCode="0.0%"/>
    <numFmt numFmtId="176" formatCode="_ * #,##0.0_ ;_ * \-#,##0.0_ ;_ * &quot;-&quot;??_ ;_ @_ 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1F497D"/>
      <name val="Verdana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rgb="FFACB9CA"/>
      </left>
      <right style="thin">
        <color rgb="FFACB9CA"/>
      </right>
      <top style="thin">
        <color rgb="FFACB9CA"/>
      </top>
      <bottom style="thin">
        <color rgb="FFACB9CA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69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8" applyNumberFormat="0" applyAlignment="0" applyProtection="0"/>
    <xf numFmtId="0" fontId="15" fillId="7" borderId="9" applyNumberFormat="0" applyAlignment="0" applyProtection="0"/>
    <xf numFmtId="0" fontId="16" fillId="7" borderId="8" applyNumberFormat="0" applyAlignment="0" applyProtection="0"/>
    <xf numFmtId="0" fontId="17" fillId="0" borderId="10" applyNumberFormat="0" applyFill="0" applyAlignment="0" applyProtection="0"/>
    <xf numFmtId="0" fontId="18" fillId="8" borderId="11" applyNumberFormat="0" applyAlignment="0" applyProtection="0"/>
    <xf numFmtId="0" fontId="19" fillId="0" borderId="0" applyNumberFormat="0" applyFill="0" applyBorder="0" applyAlignment="0" applyProtection="0"/>
    <xf numFmtId="0" fontId="2" fillId="9" borderId="12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33" borderId="0" applyNumberFormat="0" applyBorder="0" applyAlignment="0" applyProtection="0"/>
    <xf numFmtId="0" fontId="4" fillId="0" borderId="0"/>
    <xf numFmtId="0" fontId="22" fillId="0" borderId="0"/>
    <xf numFmtId="0" fontId="23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3" fillId="0" borderId="0"/>
    <xf numFmtId="171" fontId="36" fillId="0" borderId="35" applyNumberFormat="0" applyProtection="0">
      <alignment horizontal="right" vertical="center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4" fontId="40" fillId="0" borderId="0" applyFont="0" applyFill="0" applyBorder="0" applyAlignment="0" applyProtection="0"/>
  </cellStyleXfs>
  <cellXfs count="254">
    <xf numFmtId="0" fontId="0" fillId="0" borderId="0" xfId="0"/>
    <xf numFmtId="0" fontId="0" fillId="0" borderId="1" xfId="0" applyBorder="1"/>
    <xf numFmtId="164" fontId="3" fillId="0" borderId="0" xfId="1" applyFont="1" applyAlignment="1">
      <alignment vertical="top"/>
    </xf>
    <xf numFmtId="0" fontId="2" fillId="2" borderId="0" xfId="0" applyFont="1" applyFill="1" applyAlignment="1">
      <alignment vertical="top"/>
    </xf>
    <xf numFmtId="164" fontId="26" fillId="0" borderId="0" xfId="1" applyFont="1" applyAlignment="1">
      <alignment vertical="top"/>
    </xf>
    <xf numFmtId="164" fontId="26" fillId="0" borderId="0" xfId="1" applyFont="1" applyFill="1" applyAlignment="1">
      <alignment vertical="top"/>
    </xf>
    <xf numFmtId="0" fontId="1" fillId="0" borderId="1" xfId="0" applyFont="1" applyBorder="1"/>
    <xf numFmtId="164" fontId="3" fillId="0" borderId="0" xfId="1" applyFont="1" applyFill="1" applyAlignment="1">
      <alignment vertical="top"/>
    </xf>
    <xf numFmtId="164" fontId="31" fillId="0" borderId="4" xfId="1" applyFont="1" applyBorder="1" applyAlignment="1">
      <alignment vertical="top"/>
    </xf>
    <xf numFmtId="0" fontId="25" fillId="0" borderId="0" xfId="0" applyFont="1"/>
    <xf numFmtId="0" fontId="0" fillId="34" borderId="1" xfId="0" applyFill="1" applyBorder="1"/>
    <xf numFmtId="164" fontId="3" fillId="0" borderId="24" xfId="1" applyFont="1" applyFill="1" applyBorder="1" applyAlignment="1">
      <alignment vertical="top"/>
    </xf>
    <xf numFmtId="169" fontId="0" fillId="0" borderId="0" xfId="0" applyNumberFormat="1"/>
    <xf numFmtId="164" fontId="3" fillId="0" borderId="27" xfId="1" applyFont="1" applyFill="1" applyBorder="1" applyAlignment="1">
      <alignment vertical="top"/>
    </xf>
    <xf numFmtId="1" fontId="0" fillId="34" borderId="1" xfId="0" applyNumberFormat="1" applyFill="1" applyBorder="1"/>
    <xf numFmtId="164" fontId="3" fillId="0" borderId="23" xfId="1" applyFont="1" applyFill="1" applyBorder="1" applyAlignment="1">
      <alignment vertical="top"/>
    </xf>
    <xf numFmtId="164" fontId="24" fillId="0" borderId="0" xfId="1" applyFont="1" applyAlignment="1">
      <alignment vertical="top"/>
    </xf>
    <xf numFmtId="1" fontId="0" fillId="0" borderId="1" xfId="0" applyNumberFormat="1" applyBorder="1"/>
    <xf numFmtId="164" fontId="26" fillId="0" borderId="0" xfId="1" applyFont="1" applyFill="1" applyAlignment="1">
      <alignment vertical="top" wrapText="1"/>
    </xf>
    <xf numFmtId="165" fontId="25" fillId="0" borderId="0" xfId="1" applyNumberFormat="1" applyFont="1" applyAlignment="1">
      <alignment vertical="top"/>
    </xf>
    <xf numFmtId="165" fontId="30" fillId="0" borderId="0" xfId="1" applyNumberFormat="1" applyFont="1" applyBorder="1" applyAlignment="1">
      <alignment horizontal="right" vertical="top"/>
    </xf>
    <xf numFmtId="165" fontId="26" fillId="0" borderId="20" xfId="1" applyNumberFormat="1" applyFont="1" applyFill="1" applyBorder="1" applyAlignment="1">
      <alignment horizontal="right" vertical="top"/>
    </xf>
    <xf numFmtId="165" fontId="3" fillId="0" borderId="15" xfId="1" applyNumberFormat="1" applyFont="1" applyFill="1" applyBorder="1" applyAlignment="1">
      <alignment vertical="top"/>
    </xf>
    <xf numFmtId="165" fontId="3" fillId="0" borderId="0" xfId="1" applyNumberFormat="1" applyFont="1" applyAlignment="1">
      <alignment horizontal="right" vertical="top"/>
    </xf>
    <xf numFmtId="0" fontId="1" fillId="34" borderId="1" xfId="0" applyFont="1" applyFill="1" applyBorder="1"/>
    <xf numFmtId="164" fontId="0" fillId="0" borderId="0" xfId="1" applyFont="1" applyAlignment="1">
      <alignment vertical="top"/>
    </xf>
    <xf numFmtId="0" fontId="37" fillId="0" borderId="0" xfId="0" applyFont="1" applyAlignment="1">
      <alignment horizontal="left" vertical="top" wrapText="1" readingOrder="1"/>
    </xf>
    <xf numFmtId="164" fontId="27" fillId="0" borderId="0" xfId="1" applyFont="1" applyFill="1" applyBorder="1" applyAlignment="1">
      <alignment horizontal="left" vertical="top" wrapText="1"/>
    </xf>
    <xf numFmtId="164" fontId="1" fillId="0" borderId="0" xfId="1" applyFont="1" applyFill="1" applyBorder="1" applyAlignment="1">
      <alignment horizontal="center" vertical="top"/>
    </xf>
    <xf numFmtId="164" fontId="28" fillId="0" borderId="0" xfId="1" applyFont="1" applyFill="1" applyBorder="1" applyAlignment="1">
      <alignment vertical="top"/>
    </xf>
    <xf numFmtId="164" fontId="28" fillId="0" borderId="0" xfId="1" applyFont="1" applyBorder="1" applyAlignment="1">
      <alignment vertical="top"/>
    </xf>
    <xf numFmtId="164" fontId="3" fillId="0" borderId="0" xfId="1" applyFont="1" applyBorder="1" applyAlignment="1">
      <alignment horizontal="left" vertical="top" indent="3"/>
    </xf>
    <xf numFmtId="2" fontId="28" fillId="0" borderId="0" xfId="1" applyNumberFormat="1" applyFont="1" applyBorder="1" applyAlignment="1">
      <alignment vertical="top"/>
    </xf>
    <xf numFmtId="164" fontId="1" fillId="0" borderId="0" xfId="1" applyFont="1" applyFill="1" applyBorder="1" applyAlignment="1">
      <alignment vertical="top"/>
    </xf>
    <xf numFmtId="0" fontId="31" fillId="0" borderId="0" xfId="1" applyNumberFormat="1" applyFont="1" applyBorder="1" applyAlignment="1">
      <alignment vertical="top"/>
    </xf>
    <xf numFmtId="0" fontId="30" fillId="0" borderId="0" xfId="1" applyNumberFormat="1" applyFont="1" applyBorder="1" applyAlignment="1">
      <alignment vertical="top"/>
    </xf>
    <xf numFmtId="0" fontId="3" fillId="0" borderId="31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vertical="top"/>
    </xf>
    <xf numFmtId="0" fontId="26" fillId="0" borderId="0" xfId="1" applyNumberFormat="1" applyFont="1" applyFill="1" applyAlignment="1">
      <alignment vertical="top"/>
    </xf>
    <xf numFmtId="0" fontId="0" fillId="0" borderId="0" xfId="1" applyNumberFormat="1" applyFont="1" applyAlignment="1">
      <alignment vertical="top"/>
    </xf>
    <xf numFmtId="0" fontId="3" fillId="0" borderId="0" xfId="1" applyNumberFormat="1" applyFont="1" applyAlignment="1">
      <alignment vertical="top"/>
    </xf>
    <xf numFmtId="164" fontId="2" fillId="0" borderId="0" xfId="64" applyFont="1" applyAlignment="1">
      <alignment vertical="top"/>
    </xf>
    <xf numFmtId="164" fontId="2" fillId="0" borderId="0" xfId="64" applyFont="1" applyFill="1" applyAlignment="1">
      <alignment vertical="top"/>
    </xf>
    <xf numFmtId="165" fontId="2" fillId="0" borderId="0" xfId="64" applyNumberFormat="1" applyFont="1" applyFill="1" applyAlignment="1">
      <alignment vertical="top"/>
    </xf>
    <xf numFmtId="165" fontId="2" fillId="0" borderId="0" xfId="64" applyNumberFormat="1" applyFont="1" applyAlignment="1">
      <alignment vertical="top"/>
    </xf>
    <xf numFmtId="168" fontId="3" fillId="0" borderId="0" xfId="64" applyNumberFormat="1" applyFont="1" applyFill="1" applyAlignment="1">
      <alignment vertical="top"/>
    </xf>
    <xf numFmtId="166" fontId="2" fillId="0" borderId="0" xfId="64" applyNumberFormat="1" applyFont="1" applyFill="1" applyAlignment="1">
      <alignment vertical="top"/>
    </xf>
    <xf numFmtId="164" fontId="3" fillId="0" borderId="0" xfId="64" applyFont="1" applyFill="1" applyAlignment="1">
      <alignment vertical="top"/>
    </xf>
    <xf numFmtId="164" fontId="3" fillId="0" borderId="0" xfId="64" applyFont="1" applyAlignment="1">
      <alignment horizontal="right" vertical="top"/>
    </xf>
    <xf numFmtId="164" fontId="3" fillId="0" borderId="0" xfId="64" applyFont="1" applyAlignment="1">
      <alignment vertical="top"/>
    </xf>
    <xf numFmtId="168" fontId="2" fillId="0" borderId="0" xfId="64" applyNumberFormat="1" applyFont="1" applyFill="1" applyAlignment="1">
      <alignment vertical="top"/>
    </xf>
    <xf numFmtId="166" fontId="2" fillId="0" borderId="0" xfId="64" applyNumberFormat="1" applyFont="1" applyFill="1" applyAlignment="1">
      <alignment horizontal="right" vertical="top"/>
    </xf>
    <xf numFmtId="165" fontId="3" fillId="0" borderId="0" xfId="64" applyNumberFormat="1" applyFont="1" applyFill="1" applyAlignment="1">
      <alignment vertical="top"/>
    </xf>
    <xf numFmtId="165" fontId="1" fillId="0" borderId="18" xfId="64" applyNumberFormat="1" applyFont="1" applyFill="1" applyBorder="1" applyAlignment="1">
      <alignment vertical="top"/>
    </xf>
    <xf numFmtId="167" fontId="1" fillId="0" borderId="18" xfId="64" applyNumberFormat="1" applyFont="1" applyFill="1" applyBorder="1" applyAlignment="1">
      <alignment vertical="top"/>
    </xf>
    <xf numFmtId="165" fontId="1" fillId="0" borderId="22" xfId="64" applyNumberFormat="1" applyFont="1" applyFill="1" applyBorder="1" applyAlignment="1">
      <alignment vertical="top"/>
    </xf>
    <xf numFmtId="165" fontId="1" fillId="0" borderId="18" xfId="64" applyNumberFormat="1" applyFont="1" applyFill="1" applyBorder="1" applyAlignment="1">
      <alignment horizontal="right" vertical="top"/>
    </xf>
    <xf numFmtId="164" fontId="29" fillId="0" borderId="30" xfId="64" applyFont="1" applyFill="1" applyBorder="1" applyAlignment="1">
      <alignment horizontal="left" vertical="top"/>
    </xf>
    <xf numFmtId="165" fontId="3" fillId="0" borderId="24" xfId="64" applyNumberFormat="1" applyFont="1" applyFill="1" applyBorder="1" applyAlignment="1">
      <alignment vertical="top"/>
    </xf>
    <xf numFmtId="165" fontId="3" fillId="0" borderId="24" xfId="64" applyNumberFormat="1" applyFont="1" applyFill="1" applyBorder="1" applyAlignment="1">
      <alignment horizontal="right" vertical="top"/>
    </xf>
    <xf numFmtId="165" fontId="3" fillId="0" borderId="24" xfId="64" applyNumberFormat="1" applyFont="1" applyBorder="1" applyAlignment="1">
      <alignment vertical="top"/>
    </xf>
    <xf numFmtId="165" fontId="3" fillId="0" borderId="24" xfId="64" applyNumberFormat="1" applyFont="1" applyBorder="1" applyAlignment="1">
      <alignment horizontal="right" vertical="top"/>
    </xf>
    <xf numFmtId="165" fontId="3" fillId="0" borderId="23" xfId="64" applyNumberFormat="1" applyFont="1" applyFill="1" applyBorder="1" applyAlignment="1">
      <alignment vertical="top"/>
    </xf>
    <xf numFmtId="164" fontId="1" fillId="0" borderId="18" xfId="64" applyFont="1" applyFill="1" applyBorder="1" applyAlignment="1">
      <alignment horizontal="center" vertical="top"/>
    </xf>
    <xf numFmtId="164" fontId="1" fillId="0" borderId="17" xfId="64" applyFont="1" applyFill="1" applyBorder="1" applyAlignment="1">
      <alignment horizontal="center" vertical="top"/>
    </xf>
    <xf numFmtId="165" fontId="1" fillId="0" borderId="18" xfId="64" applyNumberFormat="1" applyFont="1" applyBorder="1" applyAlignment="1">
      <alignment horizontal="center" vertical="top"/>
    </xf>
    <xf numFmtId="165" fontId="1" fillId="0" borderId="17" xfId="64" applyNumberFormat="1" applyFont="1" applyBorder="1" applyAlignment="1">
      <alignment horizontal="center" vertical="top"/>
    </xf>
    <xf numFmtId="168" fontId="6" fillId="0" borderId="18" xfId="64" applyNumberFormat="1" applyFont="1" applyFill="1" applyBorder="1" applyAlignment="1">
      <alignment horizontal="center" vertical="top"/>
    </xf>
    <xf numFmtId="168" fontId="6" fillId="0" borderId="17" xfId="64" applyNumberFormat="1" applyFont="1" applyFill="1" applyBorder="1" applyAlignment="1">
      <alignment horizontal="center" vertical="top"/>
    </xf>
    <xf numFmtId="166" fontId="1" fillId="0" borderId="18" xfId="64" applyNumberFormat="1" applyFont="1" applyFill="1" applyBorder="1" applyAlignment="1">
      <alignment horizontal="center" vertical="top"/>
    </xf>
    <xf numFmtId="166" fontId="1" fillId="0" borderId="17" xfId="64" applyNumberFormat="1" applyFont="1" applyFill="1" applyBorder="1" applyAlignment="1">
      <alignment horizontal="center" vertical="top"/>
    </xf>
    <xf numFmtId="164" fontId="1" fillId="0" borderId="14" xfId="64" applyFont="1" applyBorder="1" applyAlignment="1">
      <alignment horizontal="right" vertical="top"/>
    </xf>
    <xf numFmtId="164" fontId="3" fillId="0" borderId="29" xfId="64" applyFont="1" applyBorder="1" applyAlignment="1">
      <alignment vertical="top"/>
    </xf>
    <xf numFmtId="164" fontId="2" fillId="0" borderId="0" xfId="64" applyFont="1" applyFill="1" applyAlignment="1">
      <alignment vertical="top" wrapText="1"/>
    </xf>
    <xf numFmtId="164" fontId="6" fillId="0" borderId="28" xfId="64" applyFont="1" applyFill="1" applyBorder="1" applyAlignment="1">
      <alignment vertical="top" wrapText="1"/>
    </xf>
    <xf numFmtId="164" fontId="0" fillId="0" borderId="0" xfId="64" applyFont="1" applyFill="1" applyAlignment="1">
      <alignment horizontal="left" vertical="top" wrapText="1"/>
    </xf>
    <xf numFmtId="164" fontId="30" fillId="0" borderId="0" xfId="64" applyFont="1" applyBorder="1" applyAlignment="1">
      <alignment horizontal="right" vertical="top"/>
    </xf>
    <xf numFmtId="165" fontId="24" fillId="0" borderId="0" xfId="64" applyNumberFormat="1" applyFont="1" applyAlignment="1">
      <alignment vertical="top"/>
    </xf>
    <xf numFmtId="164" fontId="6" fillId="0" borderId="0" xfId="64" applyFont="1" applyFill="1" applyBorder="1" applyAlignment="1">
      <alignment vertical="top"/>
    </xf>
    <xf numFmtId="165" fontId="25" fillId="0" borderId="0" xfId="64" applyNumberFormat="1" applyFont="1" applyAlignment="1">
      <alignment horizontal="left" vertical="top"/>
    </xf>
    <xf numFmtId="164" fontId="31" fillId="0" borderId="4" xfId="64" applyFont="1" applyBorder="1" applyAlignment="1">
      <alignment vertical="top"/>
    </xf>
    <xf numFmtId="9" fontId="3" fillId="0" borderId="0" xfId="63" applyFont="1" applyFill="1" applyAlignment="1">
      <alignment vertical="top"/>
    </xf>
    <xf numFmtId="0" fontId="39" fillId="0" borderId="0" xfId="0" applyFont="1" applyAlignment="1">
      <alignment vertical="top" wrapText="1" readingOrder="1"/>
    </xf>
    <xf numFmtId="164" fontId="6" fillId="0" borderId="4" xfId="64" applyFont="1" applyBorder="1" applyAlignment="1">
      <alignment vertical="top"/>
    </xf>
    <xf numFmtId="164" fontId="6" fillId="0" borderId="4" xfId="1" applyFont="1" applyBorder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9" fontId="0" fillId="0" borderId="0" xfId="0" applyNumberFormat="1"/>
    <xf numFmtId="164" fontId="31" fillId="0" borderId="0" xfId="64" applyFont="1" applyBorder="1" applyAlignment="1">
      <alignment vertical="top"/>
    </xf>
    <xf numFmtId="164" fontId="6" fillId="0" borderId="0" xfId="64" applyFont="1" applyBorder="1" applyAlignment="1">
      <alignment vertical="top"/>
    </xf>
    <xf numFmtId="3" fontId="0" fillId="0" borderId="0" xfId="0" applyNumberFormat="1"/>
    <xf numFmtId="164" fontId="1" fillId="0" borderId="22" xfId="64" applyFont="1" applyFill="1" applyBorder="1" applyAlignment="1">
      <alignment horizontal="right" vertical="top" wrapText="1"/>
    </xf>
    <xf numFmtId="164" fontId="3" fillId="0" borderId="36" xfId="64" applyFont="1" applyBorder="1" applyAlignment="1">
      <alignment vertical="top"/>
    </xf>
    <xf numFmtId="164" fontId="6" fillId="0" borderId="37" xfId="64" applyFont="1" applyFill="1" applyBorder="1" applyAlignment="1">
      <alignment vertical="top" wrapText="1"/>
    </xf>
    <xf numFmtId="165" fontId="6" fillId="0" borderId="0" xfId="1" applyNumberFormat="1" applyFont="1" applyFill="1" applyBorder="1" applyAlignment="1">
      <alignment vertical="top"/>
    </xf>
    <xf numFmtId="165" fontId="0" fillId="0" borderId="0" xfId="1" applyNumberFormat="1" applyFont="1"/>
    <xf numFmtId="165" fontId="3" fillId="0" borderId="0" xfId="1" applyNumberFormat="1" applyFont="1" applyFill="1" applyAlignment="1">
      <alignment vertical="top"/>
    </xf>
    <xf numFmtId="165" fontId="3" fillId="0" borderId="16" xfId="1" applyNumberFormat="1" applyFont="1" applyFill="1" applyBorder="1" applyAlignment="1">
      <alignment vertical="top"/>
    </xf>
    <xf numFmtId="165" fontId="26" fillId="0" borderId="0" xfId="1" applyNumberFormat="1" applyFont="1" applyFill="1" applyAlignment="1">
      <alignment vertical="top"/>
    </xf>
    <xf numFmtId="165" fontId="26" fillId="0" borderId="0" xfId="1" applyNumberFormat="1" applyFont="1" applyAlignment="1">
      <alignment vertical="top"/>
    </xf>
    <xf numFmtId="165" fontId="3" fillId="0" borderId="3" xfId="1" applyNumberFormat="1" applyFont="1" applyFill="1" applyBorder="1" applyAlignment="1">
      <alignment vertical="top"/>
    </xf>
    <xf numFmtId="165" fontId="0" fillId="0" borderId="1" xfId="0" applyNumberFormat="1" applyBorder="1"/>
    <xf numFmtId="165" fontId="0" fillId="0" borderId="15" xfId="0" applyNumberFormat="1" applyBorder="1"/>
    <xf numFmtId="165" fontId="3" fillId="0" borderId="34" xfId="1" applyNumberFormat="1" applyFont="1" applyFill="1" applyBorder="1" applyAlignment="1">
      <alignment vertical="top"/>
    </xf>
    <xf numFmtId="165" fontId="28" fillId="0" borderId="16" xfId="1" applyNumberFormat="1" applyFont="1" applyBorder="1" applyAlignment="1">
      <alignment vertical="top"/>
    </xf>
    <xf numFmtId="165" fontId="28" fillId="0" borderId="16" xfId="1" applyNumberFormat="1" applyFont="1" applyFill="1" applyBorder="1" applyAlignment="1">
      <alignment vertical="top"/>
    </xf>
    <xf numFmtId="165" fontId="0" fillId="0" borderId="16" xfId="1" applyNumberFormat="1" applyFont="1" applyBorder="1" applyAlignment="1">
      <alignment vertical="top"/>
    </xf>
    <xf numFmtId="165" fontId="28" fillId="0" borderId="34" xfId="1" applyNumberFormat="1" applyFont="1" applyBorder="1" applyAlignment="1">
      <alignment vertical="top"/>
    </xf>
    <xf numFmtId="165" fontId="35" fillId="0" borderId="1" xfId="0" applyNumberFormat="1" applyFont="1" applyBorder="1"/>
    <xf numFmtId="165" fontId="3" fillId="0" borderId="1" xfId="1" applyNumberFormat="1" applyFont="1" applyFill="1" applyBorder="1" applyAlignment="1">
      <alignment vertical="top"/>
    </xf>
    <xf numFmtId="165" fontId="35" fillId="0" borderId="3" xfId="0" applyNumberFormat="1" applyFont="1" applyBorder="1"/>
    <xf numFmtId="165" fontId="3" fillId="0" borderId="19" xfId="1" applyNumberFormat="1" applyFont="1" applyFill="1" applyBorder="1" applyAlignment="1">
      <alignment vertical="top"/>
    </xf>
    <xf numFmtId="165" fontId="3" fillId="0" borderId="0" xfId="1" applyNumberFormat="1" applyFont="1" applyFill="1" applyBorder="1" applyAlignment="1">
      <alignment vertical="top"/>
    </xf>
    <xf numFmtId="165" fontId="0" fillId="0" borderId="16" xfId="0" applyNumberFormat="1" applyBorder="1"/>
    <xf numFmtId="165" fontId="35" fillId="0" borderId="16" xfId="0" applyNumberFormat="1" applyFont="1" applyBorder="1"/>
    <xf numFmtId="165" fontId="3" fillId="0" borderId="2" xfId="1" applyNumberFormat="1" applyFont="1" applyFill="1" applyBorder="1" applyAlignment="1">
      <alignment vertical="top"/>
    </xf>
    <xf numFmtId="165" fontId="35" fillId="0" borderId="2" xfId="0" applyNumberFormat="1" applyFont="1" applyBorder="1"/>
    <xf numFmtId="165" fontId="28" fillId="0" borderId="15" xfId="1" applyNumberFormat="1" applyFont="1" applyBorder="1" applyAlignment="1">
      <alignment vertical="top"/>
    </xf>
    <xf numFmtId="165" fontId="28" fillId="0" borderId="15" xfId="1" applyNumberFormat="1" applyFont="1" applyFill="1" applyBorder="1" applyAlignment="1">
      <alignment vertical="top"/>
    </xf>
    <xf numFmtId="165" fontId="0" fillId="0" borderId="15" xfId="1" applyNumberFormat="1" applyFont="1" applyBorder="1" applyAlignment="1">
      <alignment vertical="top"/>
    </xf>
    <xf numFmtId="165" fontId="28" fillId="0" borderId="26" xfId="1" applyNumberFormat="1" applyFont="1" applyBorder="1" applyAlignment="1">
      <alignment vertical="top"/>
    </xf>
    <xf numFmtId="165" fontId="28" fillId="0" borderId="1" xfId="1" applyNumberFormat="1" applyFont="1" applyBorder="1" applyAlignment="1">
      <alignment vertical="top"/>
    </xf>
    <xf numFmtId="165" fontId="28" fillId="0" borderId="3" xfId="1" applyNumberFormat="1" applyFont="1" applyBorder="1" applyAlignment="1">
      <alignment vertical="top"/>
    </xf>
    <xf numFmtId="165" fontId="3" fillId="0" borderId="15" xfId="1" applyNumberFormat="1" applyFont="1" applyBorder="1" applyAlignment="1">
      <alignment vertical="top"/>
    </xf>
    <xf numFmtId="165" fontId="28" fillId="0" borderId="0" xfId="1" applyNumberFormat="1" applyFont="1" applyBorder="1" applyAlignment="1">
      <alignment vertical="top"/>
    </xf>
    <xf numFmtId="165" fontId="28" fillId="0" borderId="33" xfId="1" applyNumberFormat="1" applyFont="1" applyBorder="1" applyAlignment="1">
      <alignment vertical="top"/>
    </xf>
    <xf numFmtId="165" fontId="28" fillId="0" borderId="25" xfId="1" applyNumberFormat="1" applyFont="1" applyBorder="1" applyAlignment="1">
      <alignment vertical="top"/>
    </xf>
    <xf numFmtId="165" fontId="3" fillId="0" borderId="16" xfId="1" applyNumberFormat="1" applyFont="1" applyBorder="1" applyAlignment="1">
      <alignment horizontal="left" vertical="top" indent="3"/>
    </xf>
    <xf numFmtId="0" fontId="41" fillId="0" borderId="0" xfId="65" applyFont="1"/>
    <xf numFmtId="0" fontId="40" fillId="0" borderId="0" xfId="65"/>
    <xf numFmtId="0" fontId="3" fillId="0" borderId="1" xfId="0" applyFont="1" applyBorder="1"/>
    <xf numFmtId="0" fontId="0" fillId="0" borderId="1" xfId="0" applyBorder="1" applyAlignment="1">
      <alignment horizontal="right"/>
    </xf>
    <xf numFmtId="0" fontId="19" fillId="0" borderId="1" xfId="0" applyFont="1" applyBorder="1"/>
    <xf numFmtId="0" fontId="0" fillId="0" borderId="32" xfId="0" applyBorder="1"/>
    <xf numFmtId="0" fontId="21" fillId="0" borderId="1" xfId="0" applyFont="1" applyBorder="1"/>
    <xf numFmtId="165" fontId="1" fillId="0" borderId="45" xfId="1" applyNumberFormat="1" applyFont="1" applyFill="1" applyBorder="1" applyAlignment="1">
      <alignment vertical="top"/>
    </xf>
    <xf numFmtId="164" fontId="3" fillId="0" borderId="46" xfId="1" applyFont="1" applyFill="1" applyBorder="1" applyAlignment="1">
      <alignment vertical="top"/>
    </xf>
    <xf numFmtId="0" fontId="3" fillId="0" borderId="47" xfId="1" applyNumberFormat="1" applyFont="1" applyFill="1" applyBorder="1" applyAlignment="1">
      <alignment vertical="top"/>
    </xf>
    <xf numFmtId="165" fontId="3" fillId="0" borderId="33" xfId="1" applyNumberFormat="1" applyFont="1" applyFill="1" applyBorder="1" applyAlignment="1">
      <alignment vertical="top"/>
    </xf>
    <xf numFmtId="164" fontId="1" fillId="0" borderId="48" xfId="1" applyFont="1" applyFill="1" applyBorder="1" applyAlignment="1">
      <alignment vertical="top"/>
    </xf>
    <xf numFmtId="0" fontId="1" fillId="0" borderId="49" xfId="1" applyNumberFormat="1" applyFont="1" applyFill="1" applyBorder="1" applyAlignment="1">
      <alignment vertical="top"/>
    </xf>
    <xf numFmtId="165" fontId="1" fillId="0" borderId="50" xfId="1" applyNumberFormat="1" applyFont="1" applyFill="1" applyBorder="1" applyAlignment="1">
      <alignment vertical="top"/>
    </xf>
    <xf numFmtId="165" fontId="1" fillId="0" borderId="51" xfId="1" applyNumberFormat="1" applyFont="1" applyFill="1" applyBorder="1" applyAlignment="1">
      <alignment vertical="top"/>
    </xf>
    <xf numFmtId="165" fontId="1" fillId="0" borderId="52" xfId="1" applyNumberFormat="1" applyFont="1" applyFill="1" applyBorder="1" applyAlignment="1">
      <alignment vertical="top"/>
    </xf>
    <xf numFmtId="165" fontId="1" fillId="0" borderId="53" xfId="1" applyNumberFormat="1" applyFont="1" applyFill="1" applyBorder="1" applyAlignment="1">
      <alignment vertical="top"/>
    </xf>
    <xf numFmtId="4" fontId="40" fillId="0" borderId="0" xfId="65" applyNumberFormat="1"/>
    <xf numFmtId="165" fontId="3" fillId="0" borderId="55" xfId="1" applyNumberFormat="1" applyFont="1" applyFill="1" applyBorder="1" applyAlignment="1">
      <alignment vertical="top"/>
    </xf>
    <xf numFmtId="165" fontId="3" fillId="0" borderId="56" xfId="1" applyNumberFormat="1" applyFont="1" applyFill="1" applyBorder="1" applyAlignment="1">
      <alignment vertical="top"/>
    </xf>
    <xf numFmtId="165" fontId="3" fillId="0" borderId="57" xfId="1" applyNumberFormat="1" applyFont="1" applyFill="1" applyBorder="1" applyAlignment="1">
      <alignment vertical="top"/>
    </xf>
    <xf numFmtId="175" fontId="40" fillId="0" borderId="0" xfId="65" applyNumberFormat="1"/>
    <xf numFmtId="165" fontId="35" fillId="0" borderId="3" xfId="0" applyNumberFormat="1" applyFont="1" applyBorder="1" applyAlignment="1">
      <alignment wrapText="1"/>
    </xf>
    <xf numFmtId="165" fontId="3" fillId="0" borderId="47" xfId="1" applyNumberFormat="1" applyFont="1" applyFill="1" applyBorder="1" applyAlignment="1">
      <alignment vertical="top"/>
    </xf>
    <xf numFmtId="165" fontId="1" fillId="0" borderId="60" xfId="1" applyNumberFormat="1" applyFont="1" applyFill="1" applyBorder="1" applyAlignment="1">
      <alignment vertical="top"/>
    </xf>
    <xf numFmtId="165" fontId="1" fillId="0" borderId="61" xfId="1" applyNumberFormat="1" applyFont="1" applyFill="1" applyBorder="1" applyAlignment="1">
      <alignment vertical="top"/>
    </xf>
    <xf numFmtId="165" fontId="6" fillId="0" borderId="51" xfId="1" applyNumberFormat="1" applyFont="1" applyFill="1" applyBorder="1" applyAlignment="1">
      <alignment vertical="top"/>
    </xf>
    <xf numFmtId="165" fontId="35" fillId="0" borderId="55" xfId="0" applyNumberFormat="1" applyFont="1" applyBorder="1"/>
    <xf numFmtId="165" fontId="35" fillId="0" borderId="56" xfId="0" applyNumberFormat="1" applyFont="1" applyBorder="1"/>
    <xf numFmtId="165" fontId="35" fillId="0" borderId="55" xfId="0" applyNumberFormat="1" applyFont="1" applyBorder="1" applyAlignment="1">
      <alignment wrapText="1"/>
    </xf>
    <xf numFmtId="165" fontId="3" fillId="0" borderId="63" xfId="1" applyNumberFormat="1" applyFont="1" applyFill="1" applyBorder="1" applyAlignment="1">
      <alignment vertical="top"/>
    </xf>
    <xf numFmtId="165" fontId="3" fillId="0" borderId="64" xfId="1" applyNumberFormat="1" applyFont="1" applyFill="1" applyBorder="1" applyAlignment="1">
      <alignment vertical="top"/>
    </xf>
    <xf numFmtId="165" fontId="0" fillId="0" borderId="56" xfId="0" applyNumberFormat="1" applyBorder="1"/>
    <xf numFmtId="164" fontId="1" fillId="0" borderId="66" xfId="1" applyFont="1" applyFill="1" applyBorder="1" applyAlignment="1">
      <alignment vertical="top"/>
    </xf>
    <xf numFmtId="164" fontId="6" fillId="0" borderId="67" xfId="1" applyFont="1" applyFill="1" applyBorder="1" applyAlignment="1">
      <alignment vertical="top" wrapText="1"/>
    </xf>
    <xf numFmtId="0" fontId="6" fillId="0" borderId="68" xfId="1" applyNumberFormat="1" applyFont="1" applyFill="1" applyBorder="1" applyAlignment="1">
      <alignment vertical="top" wrapText="1"/>
    </xf>
    <xf numFmtId="0" fontId="6" fillId="0" borderId="69" xfId="1" applyNumberFormat="1" applyFont="1" applyFill="1" applyBorder="1" applyAlignment="1">
      <alignment vertical="top" wrapText="1"/>
    </xf>
    <xf numFmtId="0" fontId="6" fillId="0" borderId="70" xfId="1" applyNumberFormat="1" applyFont="1" applyFill="1" applyBorder="1" applyAlignment="1">
      <alignment vertical="top" wrapText="1"/>
    </xf>
    <xf numFmtId="0" fontId="6" fillId="0" borderId="67" xfId="1" applyNumberFormat="1" applyFont="1" applyFill="1" applyBorder="1" applyAlignment="1">
      <alignment vertical="top" wrapText="1"/>
    </xf>
    <xf numFmtId="165" fontId="1" fillId="0" borderId="71" xfId="1" applyNumberFormat="1" applyFont="1" applyFill="1" applyBorder="1" applyAlignment="1">
      <alignment horizontal="right" vertical="top" wrapText="1"/>
    </xf>
    <xf numFmtId="165" fontId="3" fillId="0" borderId="75" xfId="1" applyNumberFormat="1" applyFont="1" applyFill="1" applyBorder="1" applyAlignment="1">
      <alignment vertical="top"/>
    </xf>
    <xf numFmtId="165" fontId="3" fillId="0" borderId="76" xfId="1" applyNumberFormat="1" applyFont="1" applyFill="1" applyBorder="1" applyAlignment="1">
      <alignment vertical="top"/>
    </xf>
    <xf numFmtId="165" fontId="3" fillId="0" borderId="77" xfId="1" applyNumberFormat="1" applyFont="1" applyFill="1" applyBorder="1" applyAlignment="1">
      <alignment vertical="top"/>
    </xf>
    <xf numFmtId="165" fontId="3" fillId="0" borderId="79" xfId="1" applyNumberFormat="1" applyFont="1" applyFill="1" applyBorder="1" applyAlignment="1">
      <alignment vertical="top"/>
    </xf>
    <xf numFmtId="165" fontId="35" fillId="0" borderId="77" xfId="0" applyNumberFormat="1" applyFont="1" applyBorder="1" applyAlignment="1">
      <alignment wrapText="1"/>
    </xf>
    <xf numFmtId="165" fontId="0" fillId="0" borderId="78" xfId="0" applyNumberFormat="1" applyBorder="1"/>
    <xf numFmtId="165" fontId="3" fillId="0" borderId="80" xfId="1" applyNumberFormat="1" applyFont="1" applyFill="1" applyBorder="1" applyAlignment="1">
      <alignment vertical="top"/>
    </xf>
    <xf numFmtId="165" fontId="28" fillId="0" borderId="75" xfId="1" applyNumberFormat="1" applyFont="1" applyBorder="1" applyAlignment="1">
      <alignment vertical="top"/>
    </xf>
    <xf numFmtId="165" fontId="28" fillId="0" borderId="80" xfId="1" applyNumberFormat="1" applyFont="1" applyBorder="1" applyAlignment="1">
      <alignment vertical="top"/>
    </xf>
    <xf numFmtId="164" fontId="6" fillId="0" borderId="37" xfId="1" applyFont="1" applyBorder="1" applyAlignment="1">
      <alignment vertical="top"/>
    </xf>
    <xf numFmtId="0" fontId="6" fillId="0" borderId="42" xfId="1" applyNumberFormat="1" applyFont="1" applyBorder="1" applyAlignment="1">
      <alignment vertical="top"/>
    </xf>
    <xf numFmtId="165" fontId="1" fillId="0" borderId="81" xfId="1" applyNumberFormat="1" applyFont="1" applyBorder="1" applyAlignment="1">
      <alignment horizontal="right" vertical="top"/>
    </xf>
    <xf numFmtId="165" fontId="1" fillId="0" borderId="53" xfId="1" applyNumberFormat="1" applyFont="1" applyFill="1" applyBorder="1" applyAlignment="1">
      <alignment horizontal="center" vertical="top"/>
    </xf>
    <xf numFmtId="165" fontId="1" fillId="0" borderId="52" xfId="1" applyNumberFormat="1" applyFont="1" applyFill="1" applyBorder="1" applyAlignment="1">
      <alignment horizontal="center" vertical="top"/>
    </xf>
    <xf numFmtId="165" fontId="1" fillId="0" borderId="66" xfId="1" applyNumberFormat="1" applyFont="1" applyFill="1" applyBorder="1" applyAlignment="1">
      <alignment horizontal="center" vertical="top"/>
    </xf>
    <xf numFmtId="165" fontId="3" fillId="0" borderId="53" xfId="1" applyNumberFormat="1" applyFont="1" applyFill="1" applyBorder="1" applyAlignment="1">
      <alignment vertical="top"/>
    </xf>
    <xf numFmtId="165" fontId="3" fillId="0" borderId="52" xfId="1" applyNumberFormat="1" applyFont="1" applyFill="1" applyBorder="1" applyAlignment="1">
      <alignment vertical="top"/>
    </xf>
    <xf numFmtId="164" fontId="1" fillId="0" borderId="51" xfId="1" applyFont="1" applyBorder="1" applyAlignment="1">
      <alignment horizontal="center" vertical="top"/>
    </xf>
    <xf numFmtId="165" fontId="1" fillId="0" borderId="50" xfId="1" applyNumberFormat="1" applyFont="1" applyBorder="1" applyAlignment="1">
      <alignment horizontal="center" vertical="top"/>
    </xf>
    <xf numFmtId="165" fontId="6" fillId="0" borderId="53" xfId="1" applyNumberFormat="1" applyFont="1" applyFill="1" applyBorder="1" applyAlignment="1">
      <alignment horizontal="center" vertical="top"/>
    </xf>
    <xf numFmtId="165" fontId="6" fillId="0" borderId="50" xfId="1" applyNumberFormat="1" applyFont="1" applyFill="1" applyBorder="1" applyAlignment="1">
      <alignment horizontal="center" vertical="top"/>
    </xf>
    <xf numFmtId="165" fontId="1" fillId="0" borderId="45" xfId="1" applyNumberFormat="1" applyFont="1" applyFill="1" applyBorder="1" applyAlignment="1">
      <alignment horizontal="center" vertical="top"/>
    </xf>
    <xf numFmtId="176" fontId="3" fillId="0" borderId="24" xfId="64" applyNumberFormat="1" applyFont="1" applyFill="1" applyBorder="1" applyAlignment="1">
      <alignment horizontal="right" vertical="top"/>
    </xf>
    <xf numFmtId="165" fontId="38" fillId="0" borderId="0" xfId="0" applyNumberFormat="1" applyFont="1" applyAlignment="1">
      <alignment horizontal="right" vertical="top" wrapText="1" readingOrder="1"/>
    </xf>
    <xf numFmtId="1" fontId="0" fillId="0" borderId="65" xfId="0" applyNumberFormat="1" applyBorder="1"/>
    <xf numFmtId="0" fontId="43" fillId="0" borderId="0" xfId="61" applyFont="1"/>
    <xf numFmtId="0" fontId="44" fillId="0" borderId="0" xfId="61" applyFont="1" applyAlignment="1">
      <alignment vertical="top" wrapText="1" readingOrder="1"/>
    </xf>
    <xf numFmtId="0" fontId="44" fillId="0" borderId="58" xfId="61" applyFont="1" applyBorder="1" applyAlignment="1">
      <alignment vertical="top" wrapText="1" readingOrder="1"/>
    </xf>
    <xf numFmtId="0" fontId="44" fillId="0" borderId="0" xfId="61" applyFont="1" applyAlignment="1">
      <alignment horizontal="left" vertical="top" wrapText="1" readingOrder="1"/>
    </xf>
    <xf numFmtId="0" fontId="42" fillId="0" borderId="38" xfId="61" applyFont="1" applyBorder="1" applyAlignment="1">
      <alignment horizontal="center" vertical="top" wrapText="1" readingOrder="1"/>
    </xf>
    <xf numFmtId="0" fontId="44" fillId="0" borderId="59" xfId="61" applyFont="1" applyBorder="1" applyAlignment="1">
      <alignment vertical="top" wrapText="1" readingOrder="1"/>
    </xf>
    <xf numFmtId="0" fontId="44" fillId="0" borderId="39" xfId="61" applyFont="1" applyBorder="1" applyAlignment="1">
      <alignment vertical="top" wrapText="1" readingOrder="1"/>
    </xf>
    <xf numFmtId="0" fontId="44" fillId="0" borderId="39" xfId="61" applyFont="1" applyBorder="1" applyAlignment="1">
      <alignment horizontal="left" vertical="top" wrapText="1" readingOrder="1"/>
    </xf>
    <xf numFmtId="0" fontId="44" fillId="0" borderId="39" xfId="61" applyFont="1" applyBorder="1" applyAlignment="1">
      <alignment horizontal="right" vertical="top" wrapText="1" readingOrder="1"/>
    </xf>
    <xf numFmtId="0" fontId="42" fillId="0" borderId="40" xfId="61" applyFont="1" applyBorder="1" applyAlignment="1">
      <alignment horizontal="right" vertical="top" wrapText="1" readingOrder="1"/>
    </xf>
    <xf numFmtId="0" fontId="44" fillId="0" borderId="40" xfId="61" applyFont="1" applyBorder="1" applyAlignment="1">
      <alignment horizontal="right" vertical="top" wrapText="1" readingOrder="1"/>
    </xf>
    <xf numFmtId="172" fontId="42" fillId="0" borderId="41" xfId="61" applyNumberFormat="1" applyFont="1" applyBorder="1" applyAlignment="1">
      <alignment horizontal="right" vertical="top" wrapText="1" readingOrder="1"/>
    </xf>
    <xf numFmtId="173" fontId="44" fillId="0" borderId="0" xfId="61" applyNumberFormat="1" applyFont="1" applyAlignment="1">
      <alignment vertical="top" wrapText="1" readingOrder="1"/>
    </xf>
    <xf numFmtId="170" fontId="44" fillId="0" borderId="0" xfId="61" applyNumberFormat="1" applyFont="1" applyAlignment="1">
      <alignment horizontal="right" vertical="top" wrapText="1" readingOrder="1"/>
    </xf>
    <xf numFmtId="170" fontId="44" fillId="0" borderId="0" xfId="61" applyNumberFormat="1" applyFont="1" applyAlignment="1">
      <alignment vertical="top" wrapText="1" readingOrder="1"/>
    </xf>
    <xf numFmtId="174" fontId="44" fillId="0" borderId="41" xfId="61" applyNumberFormat="1" applyFont="1" applyBorder="1" applyAlignment="1">
      <alignment horizontal="right" vertical="top" wrapText="1" readingOrder="1"/>
    </xf>
    <xf numFmtId="172" fontId="42" fillId="0" borderId="40" xfId="61" applyNumberFormat="1" applyFont="1" applyBorder="1" applyAlignment="1">
      <alignment vertical="top" wrapText="1" readingOrder="1"/>
    </xf>
    <xf numFmtId="170" fontId="44" fillId="0" borderId="39" xfId="61" applyNumberFormat="1" applyFont="1" applyBorder="1" applyAlignment="1">
      <alignment horizontal="right" vertical="top" wrapText="1" readingOrder="1"/>
    </xf>
    <xf numFmtId="174" fontId="44" fillId="0" borderId="40" xfId="61" applyNumberFormat="1" applyFont="1" applyBorder="1" applyAlignment="1">
      <alignment vertical="top" wrapText="1" readingOrder="1"/>
    </xf>
    <xf numFmtId="170" fontId="44" fillId="0" borderId="82" xfId="61" applyNumberFormat="1" applyFont="1" applyBorder="1" applyAlignment="1">
      <alignment vertical="top" wrapText="1" readingOrder="1"/>
    </xf>
    <xf numFmtId="170" fontId="44" fillId="0" borderId="83" xfId="61" applyNumberFormat="1" applyFont="1" applyBorder="1" applyAlignment="1">
      <alignment vertical="top" wrapText="1" readingOrder="1"/>
    </xf>
    <xf numFmtId="43" fontId="41" fillId="0" borderId="0" xfId="66" applyFont="1"/>
    <xf numFmtId="3" fontId="40" fillId="0" borderId="0" xfId="65" applyNumberFormat="1"/>
    <xf numFmtId="43" fontId="0" fillId="0" borderId="0" xfId="66" applyFont="1"/>
    <xf numFmtId="0" fontId="0" fillId="0" borderId="0" xfId="66" applyNumberFormat="1" applyFont="1"/>
    <xf numFmtId="2" fontId="0" fillId="0" borderId="0" xfId="66" applyNumberFormat="1" applyFont="1"/>
    <xf numFmtId="1" fontId="40" fillId="0" borderId="0" xfId="65" applyNumberFormat="1"/>
    <xf numFmtId="1" fontId="3" fillId="0" borderId="31" xfId="1" applyNumberFormat="1" applyFont="1" applyFill="1" applyBorder="1" applyAlignment="1">
      <alignment vertical="top"/>
    </xf>
    <xf numFmtId="1" fontId="3" fillId="0" borderId="0" xfId="1" applyNumberFormat="1" applyFont="1" applyFill="1" applyBorder="1" applyAlignment="1">
      <alignment vertical="top"/>
    </xf>
    <xf numFmtId="165" fontId="3" fillId="0" borderId="15" xfId="1" applyNumberFormat="1" applyFont="1" applyFill="1" applyBorder="1" applyAlignment="1">
      <alignment horizontal="center" vertical="top"/>
    </xf>
    <xf numFmtId="165" fontId="3" fillId="0" borderId="2" xfId="1" applyNumberFormat="1" applyFont="1" applyFill="1" applyBorder="1" applyAlignment="1">
      <alignment vertical="center"/>
    </xf>
    <xf numFmtId="0" fontId="0" fillId="2" borderId="1" xfId="0" applyFill="1" applyBorder="1"/>
    <xf numFmtId="164" fontId="6" fillId="0" borderId="21" xfId="64" applyFont="1" applyFill="1" applyBorder="1" applyAlignment="1">
      <alignment horizontal="center" vertical="top" wrapText="1"/>
    </xf>
    <xf numFmtId="164" fontId="6" fillId="0" borderId="22" xfId="64" applyFont="1" applyFill="1" applyBorder="1" applyAlignment="1">
      <alignment horizontal="center" vertical="top" wrapText="1"/>
    </xf>
    <xf numFmtId="164" fontId="1" fillId="0" borderId="17" xfId="64" applyFont="1" applyFill="1" applyBorder="1" applyAlignment="1">
      <alignment wrapText="1"/>
    </xf>
    <xf numFmtId="164" fontId="1" fillId="0" borderId="18" xfId="64" applyFont="1" applyFill="1" applyBorder="1" applyAlignment="1">
      <alignment wrapText="1"/>
    </xf>
    <xf numFmtId="164" fontId="1" fillId="0" borderId="17" xfId="64" applyFont="1" applyFill="1" applyBorder="1" applyAlignment="1">
      <alignment horizontal="center" vertical="top" wrapText="1"/>
    </xf>
    <xf numFmtId="164" fontId="1" fillId="0" borderId="18" xfId="64" applyFont="1" applyFill="1" applyBorder="1" applyAlignment="1">
      <alignment horizontal="center" vertical="top" wrapText="1"/>
    </xf>
    <xf numFmtId="164" fontId="6" fillId="0" borderId="17" xfId="64" applyFont="1" applyFill="1" applyBorder="1" applyAlignment="1">
      <alignment horizontal="center" vertical="top" wrapText="1"/>
    </xf>
    <xf numFmtId="164" fontId="6" fillId="0" borderId="18" xfId="64" applyFont="1" applyFill="1" applyBorder="1" applyAlignment="1">
      <alignment horizontal="center" vertical="top" wrapText="1"/>
    </xf>
    <xf numFmtId="164" fontId="1" fillId="0" borderId="21" xfId="64" applyFont="1" applyFill="1" applyBorder="1" applyAlignment="1">
      <alignment horizontal="left" vertical="top" wrapText="1"/>
    </xf>
    <xf numFmtId="164" fontId="1" fillId="0" borderId="22" xfId="64" applyFont="1" applyFill="1" applyBorder="1" applyAlignment="1">
      <alignment horizontal="left" vertical="top" wrapText="1"/>
    </xf>
    <xf numFmtId="0" fontId="42" fillId="0" borderId="0" xfId="61" applyFont="1" applyAlignment="1">
      <alignment vertical="top" wrapText="1" readingOrder="1"/>
    </xf>
    <xf numFmtId="0" fontId="43" fillId="0" borderId="0" xfId="61" applyFont="1"/>
    <xf numFmtId="0" fontId="44" fillId="0" borderId="0" xfId="61" applyFont="1" applyAlignment="1">
      <alignment vertical="top" wrapText="1" readingOrder="1"/>
    </xf>
    <xf numFmtId="0" fontId="42" fillId="0" borderId="38" xfId="61" applyFont="1" applyBorder="1" applyAlignment="1">
      <alignment horizontal="center" vertical="top" wrapText="1" readingOrder="1"/>
    </xf>
    <xf numFmtId="0" fontId="43" fillId="0" borderId="39" xfId="61" applyFont="1" applyBorder="1" applyAlignment="1">
      <alignment vertical="top" wrapText="1"/>
    </xf>
    <xf numFmtId="0" fontId="43" fillId="0" borderId="40" xfId="61" applyFont="1" applyBorder="1" applyAlignment="1">
      <alignment vertical="top" wrapText="1"/>
    </xf>
    <xf numFmtId="164" fontId="1" fillId="0" borderId="43" xfId="1" applyFont="1" applyFill="1" applyBorder="1" applyAlignment="1">
      <alignment horizontal="left" vertical="top" wrapText="1"/>
    </xf>
    <xf numFmtId="164" fontId="27" fillId="0" borderId="62" xfId="1" applyFont="1" applyFill="1" applyBorder="1" applyAlignment="1">
      <alignment horizontal="left" vertical="top" wrapText="1"/>
    </xf>
    <xf numFmtId="164" fontId="27" fillId="0" borderId="43" xfId="1" applyFont="1" applyFill="1" applyBorder="1" applyAlignment="1">
      <alignment horizontal="center" vertical="top" wrapText="1"/>
    </xf>
    <xf numFmtId="164" fontId="27" fillId="0" borderId="62" xfId="1" applyFont="1" applyFill="1" applyBorder="1" applyAlignment="1">
      <alignment horizontal="center" vertical="top" wrapText="1"/>
    </xf>
    <xf numFmtId="164" fontId="1" fillId="0" borderId="43" xfId="1" applyFont="1" applyFill="1" applyBorder="1" applyAlignment="1">
      <alignment horizontal="center" vertical="top" wrapText="1"/>
    </xf>
    <xf numFmtId="164" fontId="27" fillId="0" borderId="54" xfId="1" applyFont="1" applyFill="1" applyBorder="1" applyAlignment="1">
      <alignment horizontal="center" vertical="top" wrapText="1"/>
    </xf>
    <xf numFmtId="164" fontId="6" fillId="0" borderId="44" xfId="1" applyFont="1" applyFill="1" applyBorder="1" applyAlignment="1">
      <alignment horizontal="center" vertical="top" wrapText="1"/>
    </xf>
    <xf numFmtId="164" fontId="6" fillId="0" borderId="72" xfId="1" applyFont="1" applyFill="1" applyBorder="1" applyAlignment="1">
      <alignment horizontal="center" vertical="top" wrapText="1"/>
    </xf>
    <xf numFmtId="164" fontId="1" fillId="0" borderId="73" xfId="1" applyFont="1" applyFill="1" applyBorder="1" applyAlignment="1">
      <alignment horizontal="center" vertical="top" wrapText="1"/>
    </xf>
    <xf numFmtId="164" fontId="1" fillId="0" borderId="71" xfId="1" applyFont="1" applyFill="1" applyBorder="1" applyAlignment="1">
      <alignment horizontal="center" vertical="top" wrapText="1"/>
    </xf>
    <xf numFmtId="164" fontId="6" fillId="0" borderId="74" xfId="1" applyFont="1" applyFill="1" applyBorder="1" applyAlignment="1">
      <alignment horizontal="center" vertical="top" wrapText="1"/>
    </xf>
    <xf numFmtId="164" fontId="6" fillId="0" borderId="71" xfId="1" applyFont="1" applyFill="1" applyBorder="1" applyAlignment="1">
      <alignment horizontal="center" vertical="top" wrapText="1"/>
    </xf>
  </cellXfs>
  <cellStyles count="69">
    <cellStyle name="20 % - Farve1" xfId="22" builtinId="30" customBuiltin="1"/>
    <cellStyle name="20 % - Farve1 2" xfId="49" xr:uid="{00000000-0005-0000-0000-000036000000}"/>
    <cellStyle name="20 % - Farve2" xfId="26" builtinId="34" customBuiltin="1"/>
    <cellStyle name="20 % - Farve2 2" xfId="51" xr:uid="{00000000-0005-0000-0000-000037000000}"/>
    <cellStyle name="20 % - Farve3" xfId="30" builtinId="38" customBuiltin="1"/>
    <cellStyle name="20 % - Farve3 2" xfId="53" xr:uid="{00000000-0005-0000-0000-000038000000}"/>
    <cellStyle name="20 % - Farve4" xfId="34" builtinId="42" customBuiltin="1"/>
    <cellStyle name="20 % - Farve4 2" xfId="55" xr:uid="{00000000-0005-0000-0000-000039000000}"/>
    <cellStyle name="20 % - Farve5" xfId="38" builtinId="46" customBuiltin="1"/>
    <cellStyle name="20 % - Farve5 2" xfId="57" xr:uid="{00000000-0005-0000-0000-00003A000000}"/>
    <cellStyle name="20 % - Farve6" xfId="42" builtinId="50" customBuiltin="1"/>
    <cellStyle name="20 % - Farve6 2" xfId="59" xr:uid="{00000000-0005-0000-0000-00003B000000}"/>
    <cellStyle name="40 % - Farve1" xfId="23" builtinId="31" customBuiltin="1"/>
    <cellStyle name="40 % - Farve1 2" xfId="50" xr:uid="{00000000-0005-0000-0000-00003C000000}"/>
    <cellStyle name="40 % - Farve2" xfId="27" builtinId="35" customBuiltin="1"/>
    <cellStyle name="40 % - Farve2 2" xfId="52" xr:uid="{00000000-0005-0000-0000-00003D000000}"/>
    <cellStyle name="40 % - Farve3" xfId="31" builtinId="39" customBuiltin="1"/>
    <cellStyle name="40 % - Farve3 2" xfId="54" xr:uid="{00000000-0005-0000-0000-00003E000000}"/>
    <cellStyle name="40 % - Farve4" xfId="35" builtinId="43" customBuiltin="1"/>
    <cellStyle name="40 % - Farve4 2" xfId="56" xr:uid="{00000000-0005-0000-0000-00003F000000}"/>
    <cellStyle name="40 % - Farve5" xfId="39" builtinId="47" customBuiltin="1"/>
    <cellStyle name="40 % - Farve5 2" xfId="58" xr:uid="{00000000-0005-0000-0000-000040000000}"/>
    <cellStyle name="40 % - Farve6" xfId="43" builtinId="51" customBuiltin="1"/>
    <cellStyle name="40 % - Farve6 2" xfId="60" xr:uid="{00000000-0005-0000-0000-000041000000}"/>
    <cellStyle name="60 % - Farve1" xfId="24" builtinId="32" customBuiltin="1"/>
    <cellStyle name="60 % - Farve2" xfId="28" builtinId="36" customBuiltin="1"/>
    <cellStyle name="60 % - Farve3" xfId="32" builtinId="40" customBuiltin="1"/>
    <cellStyle name="60 % - Farve4" xfId="36" builtinId="44" customBuiltin="1"/>
    <cellStyle name="60 % - Farve5" xfId="40" builtinId="48" customBuiltin="1"/>
    <cellStyle name="60 % - Farve6" xfId="44" builtinId="52" customBuiltin="1"/>
    <cellStyle name="Advarselstekst" xfId="17" builtinId="11" customBuiltin="1"/>
    <cellStyle name="Bemærk!" xfId="18" builtinId="10" customBuiltin="1"/>
    <cellStyle name="Bemærk! 2" xfId="48" xr:uid="{00000000-0005-0000-0000-000042000000}"/>
    <cellStyle name="Beregning" xfId="14" builtinId="22" customBuiltin="1"/>
    <cellStyle name="Farve1" xfId="21" builtinId="29" customBuiltin="1"/>
    <cellStyle name="Farve2" xfId="25" builtinId="33" customBuiltin="1"/>
    <cellStyle name="Farve3" xfId="29" builtinId="37" customBuiltin="1"/>
    <cellStyle name="Farve4" xfId="33" builtinId="41" customBuiltin="1"/>
    <cellStyle name="Farve5" xfId="37" builtinId="45" customBuiltin="1"/>
    <cellStyle name="Farve6" xfId="41" builtinId="49" customBuiltin="1"/>
    <cellStyle name="Forklarende tekst" xfId="19" builtinId="53" customBuiltin="1"/>
    <cellStyle name="God" xfId="9" builtinId="26" customBuiltin="1"/>
    <cellStyle name="Input" xfId="12" builtinId="20" customBuiltin="1"/>
    <cellStyle name="Komma" xfId="1" builtinId="3"/>
    <cellStyle name="Komma 2" xfId="64" xr:uid="{1FDA5418-B14F-4923-9BC4-880FC2F2D975}"/>
    <cellStyle name="Komma 3" xfId="66" xr:uid="{F2CED34D-B581-4DA3-902B-F54848217729}"/>
    <cellStyle name="Kontrollér celle" xfId="16" builtinId="23" customBuiltin="1"/>
    <cellStyle name="Neutral" xfId="11" builtinId="28" customBuiltin="1"/>
    <cellStyle name="Normal" xfId="0" builtinId="0"/>
    <cellStyle name="Normal 2" xfId="2" xr:uid="{00000000-0005-0000-0000-000023000000}"/>
    <cellStyle name="Normal 3" xfId="3" xr:uid="{00000000-0005-0000-0000-000024000000}"/>
    <cellStyle name="Normal 3 2" xfId="45" xr:uid="{00000000-0005-0000-0000-000025000000}"/>
    <cellStyle name="Normal 4" xfId="46" xr:uid="{00000000-0005-0000-0000-000026000000}"/>
    <cellStyle name="Normal 5" xfId="47" xr:uid="{00000000-0005-0000-0000-000027000000}"/>
    <cellStyle name="Normal 6" xfId="61" xr:uid="{05291305-6670-4350-AB04-42E56C33D8AD}"/>
    <cellStyle name="Normal 7" xfId="65" xr:uid="{12B49A5C-8D44-493C-9FC8-8A9CEEEE005F}"/>
    <cellStyle name="Output" xfId="13" builtinId="21" customBuiltin="1"/>
    <cellStyle name="Overskrift 1" xfId="5" builtinId="16" customBuiltin="1"/>
    <cellStyle name="Overskrift 2" xfId="6" builtinId="17" customBuiltin="1"/>
    <cellStyle name="Overskrift 3" xfId="7" builtinId="18" customBuiltin="1"/>
    <cellStyle name="Overskrift 4" xfId="8" builtinId="19" customBuiltin="1"/>
    <cellStyle name="Procent" xfId="63" builtinId="5"/>
    <cellStyle name="Procent 2" xfId="67" xr:uid="{C5C7C172-F6F2-4286-8077-CC06704F4DA1}"/>
    <cellStyle name="Sammenkædet celle" xfId="15" builtinId="24" customBuiltin="1"/>
    <cellStyle name="SAPDataCell" xfId="62" xr:uid="{1D27F6C0-557C-4698-B0B3-9D9A97B225AF}"/>
    <cellStyle name="Titel" xfId="4" builtinId="15" customBuiltin="1"/>
    <cellStyle name="Total" xfId="20" builtinId="25" customBuiltin="1"/>
    <cellStyle name="Ugyldig" xfId="10" builtinId="27" customBuiltin="1"/>
    <cellStyle name="Valuta 2" xfId="68" xr:uid="{BB5CEB7B-6D1E-4684-8FEE-D91833158CEB}"/>
  </cellStyles>
  <dxfs count="4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e Merrald" refreshedDate="45684.399169560187" createdVersion="8" refreshedVersion="8" minRefreshableVersion="3" recordCount="110" xr:uid="{32CEEEDF-B13E-4AA6-8D4B-4F6B908B2B42}">
  <cacheSource type="worksheet">
    <worksheetSource ref="A4:K114" sheet="Øko% Alle køkkener"/>
  </cacheSource>
  <cacheFields count="13">
    <cacheField name="Institutionsnavn" numFmtId="164">
      <sharedItems count="134">
        <s v="Anais Kulturcafé, Farum Kulturhus"/>
        <s v="Broen, specialtilbud 0. -9- kl."/>
        <s v="Børnehuset Atlantis (Tidl. Børnehusene, Ryttergårdsvej)"/>
        <s v="Børnehuset Birkedal"/>
        <s v="Børnehuset Birkhøj"/>
        <s v="Børnehuset Birkhøj - møder"/>
        <s v="Børnehuset Bøgely"/>
        <s v="Børnehuset Egetræet"/>
        <s v="Børnehuset Kirke Værløse"/>
        <s v="Børnehuset Lyngholm nr. 15 (vuggest.)"/>
        <s v="Børnehuset Lyngholm nr. 17 (børneh.)"/>
        <s v="Børnehuset Mimers Brønd"/>
        <s v="Børnehuset Nørreskoven"/>
        <s v="Børnehuset Siv"/>
        <s v="Børnehuset Skovbakken"/>
        <s v="Børnehuset Solbjerg"/>
        <s v="Børnehuset Søndersø"/>
        <s v="Børnehuset Vingesus"/>
        <s v="Cassiopeia, Galaksen. Opgøres af Cassiopeia"/>
        <s v="Dagplejen, kaffe (mad fra Mimers Brønd)"/>
        <s v="Dalgårdens Børnehus"/>
        <s v="Dalgårdens Børnehus, møde"/>
        <s v="Driftsgården"/>
        <s v="Egeskolen, kantine"/>
        <s v="Egeskolen, skolens fælles køb "/>
        <s v="Espebo Børnecenter"/>
        <s v="Fars Køkkenskole"/>
        <s v="Farum Nordby Børnehus"/>
        <s v="Farum Vejgaard, BH/VS"/>
        <s v="Farumsødal"/>
        <s v="Fiskebæk Naturskole"/>
        <s v="Fritidshjemmenes Andelsforening á 1986"/>
        <s v="Furesø AdHd"/>
        <s v="Furesø Bibliotek, frugt- og kaffeordning"/>
        <s v="Furesø Museer"/>
        <s v="Furesø Musikskole"/>
        <s v="Furesø Skole- og Familiehus (inkl. Rådgivning, vejledn. og støtte)"/>
        <s v="Furesø Ungdomsskole"/>
        <s v="Furesøgård, fritidsklub"/>
        <s v="Genoptræningscenteret"/>
        <s v="Græshoppen, madpakker"/>
        <s v="Hareskov Børnehus"/>
        <s v="Hareskov Børnehus, personale"/>
        <s v="Hareskov FFO - Gasværket, klub"/>
        <s v="Hareskov FFO Kaffe"/>
        <s v="Hareskov FFO, Læsehuset  "/>
        <s v="Hareskov skole - lærerforplejning"/>
        <s v="Hareskov skole, madkundskab"/>
        <s v="Hareskov Skole, natur"/>
        <s v="Hjemmeplejen+Hjemme-og Sygeplejen"/>
        <s v="Humlehaven, specialbørnehave"/>
        <s v="Kommunal Tandpleje/Tandklinikken Søndersøskolen, Nygårdsterrasserne, Kirke Værløse"/>
        <s v="Krudthuset"/>
        <s v="Lille Værløse Skole, adm. (kaffe)"/>
        <s v="Lille Værløse Skole, Autisme afdelingen"/>
        <s v="Lille Værløse Skole, kantinen"/>
        <s v="Lille Værløse Skole, Madkundskab"/>
        <s v="Lille Værløse Skoles FFO 1 (Miniklub)"/>
        <s v="Lille Værløse Skoles FFO 2 (Toppen)"/>
        <s v="Lille Værløse Skoles FFO 3 (Klub24 )"/>
        <s v="Lillestjernen FFO"/>
        <s v="Lillestjernen FFO, møder"/>
        <s v="Lillevang - Blommehaven"/>
        <s v="Lillevang - Kornelhaven "/>
        <s v="Lillevang - Køkken"/>
        <s v="Lillevang - Magnoliehaven"/>
        <s v="Lillevang - Syrenhaven"/>
        <s v="Lillevang - Rosenhaven"/>
        <s v="Lyngholm FFO"/>
        <s v="Lyngholmskolen, kantinen"/>
        <s v="Lyngholmskolen, lærerforplejning + Gruppeordning(tidl. Furesøskolen)"/>
        <s v="Lyngholmskolen, madkundskab"/>
        <s v="Lynghuset"/>
        <s v="Madhus, Det danske - ekstern opgørelse uden kg, kun øko% oplyses"/>
        <s v="Nordvænget Vuggestue"/>
        <s v="Paletten (Valhalla)"/>
        <s v="Plejecenteret Solbjerghaven"/>
        <s v="Ryet Børnehus"/>
        <s v="Ryetbo"/>
        <s v="Røde Sol (Madpakker og forældrefrugt)"/>
        <s v="Rådhuset Furesø Kommune + frugtordning"/>
        <s v="Skiftesporet/Social Psykiatrien"/>
        <s v="Skolelandbruget"/>
        <s v="Skovgården"/>
        <s v="Solhøjgård, Fritidshjem, selvejende"/>
        <s v="Solstrålen"/>
        <s v="Solvang FFO, Solvognen"/>
        <s v="Solvangskolen, madkundskab"/>
        <s v="Solvangskolen, skolens fælleskøb"/>
        <s v="Sprogcenter Furesø"/>
        <s v="Stavnsholt Børnehus, integr."/>
        <s v="Stavnsholt FFO (Raketten+Turbodragen) "/>
        <s v="Stavnsholtskolen, kantinen. Har skolehaver"/>
        <s v="Stavnsholtskolen, madkundskab og møder"/>
        <s v="Sundhedsplejen, Farum"/>
        <s v="Svanepunktet Plejecenter, Svane"/>
        <s v="Svanepunktet, Bofællesskabet"/>
        <s v="Svanepunktet, Rehab"/>
        <s v="Syvstjerneklubben &amp; kantine"/>
        <s v="Syvstjerneklubben, møder "/>
        <s v="Syvstjerneskolen, madkundskab "/>
        <s v="Syvstjerneskolen, møder og kontor"/>
        <s v="Syvstjernevænge, Bofællesskabet"/>
        <s v="Søndersø FFO 1"/>
        <s v="Søndersø FFO 2, Solbjerggaard"/>
        <s v="Søndersø, Botræningstilbud "/>
        <s v="Søndersøskolen - kontor"/>
        <s v="Søndersøskolen - madkundskab"/>
        <s v="Værløse Svømmehal"/>
        <s v="Åkanden"/>
        <s v="Børnehuset Hjertet" u="1"/>
        <s v="Farum Svømmehal" u="1"/>
        <s v="Stavnsholt Børnehus, integr. (tidl. Majtræet VS, Guldsmeden BH) " u="1"/>
        <s v="Børnehuset Egetræet (tidl. Skovstjernen)" u="1"/>
        <s v="Farum Nordby Børnehus, (tidl. Børnehuset Solsikken)" u="1"/>
        <s v="Lyngholmskolen, kantinen - Midlertidigt lukket e22" u="1"/>
        <s v="Solstrålen, tidl. Kildehuset, forældre/personale " u="1"/>
        <s v="Solstrålen, tidl. Kildehuset" u="1"/>
        <s v="Børnehuset Egetræet, Kollekolle frugt m.v" u="1"/>
        <s v="Børnehuset Egetræet, Skovstj." u="1"/>
        <s v="Farum Svømmehal, Anais Idrætscafé" u="1"/>
        <s v="Grøn Fællesspisning" u="1"/>
        <s v="Lille Værløse Skole, kantinen (Salling 223)" u="1"/>
        <s v="Stavnsholtskolen, madkundskab og møder (Sall. 0237)" u="1"/>
        <s v="Søndersøskolen - kontor (Sall. 2237)" u="1"/>
        <s v="Søndersøskolen - madkundskab (Sall 1720)" u="1"/>
        <s v="Søndersø, Botræningstilbud (Sall. 1680)" u="1"/>
        <s v="Lyngholmskolen, kantinen (Sall. 225) Midlertidigt lukket e22" u="1"/>
        <s v="Hareskov FFO (Sall. 1825) Kaffe" u="1"/>
        <s v="Lyngholm FFO, Afd. Lærkehuset og Bakkehuset " u="1"/>
        <s v="Stavnsholt FFO (Raketten+Turbodragen) (Sall. 0236+1949)" u="1"/>
        <s v="Solstrålen, tidl. Kildehuset, inkl. frugtordning" u="1"/>
        <s v="Lyngholm FFO, Afd. Regnbuen, fritids/ungdomsklub" u="1"/>
        <s v="Lillestjernen FFO, møder (Sall. 2251)" u="1"/>
      </sharedItems>
    </cacheField>
    <cacheField name="Hørkram kundenummer" numFmtId="0">
      <sharedItems containsBlank="1" containsMixedTypes="1" containsNumber="1" containsInteger="1" minValue="200011554" maxValue="200809045"/>
    </cacheField>
    <cacheField name="Nemlig kundenummer 1" numFmtId="0">
      <sharedItems containsString="0" containsBlank="1" containsNumber="1" containsInteger="1" minValue="1004359" maxValue="2347486"/>
    </cacheField>
    <cacheField name="Nemlig kundenummer 2" numFmtId="0">
      <sharedItems containsString="0" containsBlank="1" containsNumber="1" containsInteger="1" minValue="1017038" maxValue="2296585"/>
    </cacheField>
    <cacheField name="Nemlig kundenummer 3" numFmtId="0">
      <sharedItems containsString="0" containsBlank="1" containsNumber="1" containsInteger="1" minValue="2154841" maxValue="2231699"/>
    </cacheField>
    <cacheField name="Nemlig kundenummer 4" numFmtId="0">
      <sharedItems containsString="0" containsBlank="1" containsNumber="1" containsInteger="1" minValue="1380376" maxValue="2329044"/>
    </cacheField>
    <cacheField name="Registreret hos FVST" numFmtId="0">
      <sharedItems containsBlank="1"/>
    </cacheField>
    <cacheField name="Institutionstype" numFmtId="0">
      <sharedItems count="8">
        <s v="Social+Kultur"/>
        <s v="Børneinstitution"/>
        <s v="Møder m.v."/>
        <s v="Skolekantiner"/>
        <s v="FFO+Klub"/>
        <s v="Madkundskab"/>
        <s v="Ældre"/>
        <s v="Rådhus"/>
      </sharedItems>
    </cacheField>
    <cacheField name="Økologi %" numFmtId="165">
      <sharedItems containsMixedTypes="1" containsNumber="1" minValue="0" maxValue="100"/>
    </cacheField>
    <cacheField name="Øko kg" numFmtId="165">
      <sharedItems containsSemiMixedTypes="0" containsString="0" containsNumber="1" minValue="0" maxValue="8916.32"/>
    </cacheField>
    <cacheField name="Omfattet kg" numFmtId="165">
      <sharedItems containsSemiMixedTypes="0" containsString="0" containsNumber="1" minValue="0" maxValue="14775.517"/>
    </cacheField>
    <cacheField name="Økologiprocent" numFmtId="0" formula="#NAME?/#NAME?" databaseField="0"/>
    <cacheField name="Øko%" numFmtId="0" formula="'Øko kg'/'Omfattet kg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">
  <r>
    <x v="0"/>
    <m/>
    <m/>
    <m/>
    <m/>
    <m/>
    <s v="Registreret hos FVST"/>
    <x v="0"/>
    <n v="62.562087626955289"/>
    <n v="843.9"/>
    <n v="1348.9"/>
  </r>
  <r>
    <x v="1"/>
    <m/>
    <m/>
    <m/>
    <m/>
    <m/>
    <s v="Ikke registreret hos FVST"/>
    <x v="0"/>
    <e v="#DIV/0!"/>
    <n v="0"/>
    <n v="0"/>
  </r>
  <r>
    <x v="2"/>
    <n v="200140070"/>
    <m/>
    <m/>
    <m/>
    <m/>
    <s v="Registreret hos FVST"/>
    <x v="1"/>
    <n v="88.888562838458952"/>
    <n v="1393.402"/>
    <n v="1567.5830000000001"/>
  </r>
  <r>
    <x v="3"/>
    <n v="200544489"/>
    <n v="1017028"/>
    <m/>
    <m/>
    <m/>
    <s v="Registreret hos FVST"/>
    <x v="1"/>
    <n v="79.32388672828435"/>
    <n v="833.60599999999999"/>
    <n v="1050.8889999999999"/>
  </r>
  <r>
    <x v="4"/>
    <n v="200012834"/>
    <m/>
    <m/>
    <m/>
    <m/>
    <s v="Registreret hos FVST"/>
    <x v="1"/>
    <n v="80.009127706801962"/>
    <n v="1272.7539999999999"/>
    <n v="1590.761"/>
  </r>
  <r>
    <x v="5"/>
    <n v="200194837"/>
    <n v="2232789"/>
    <m/>
    <m/>
    <m/>
    <s v="Ikke registreret hos FVST"/>
    <x v="2"/>
    <n v="0.81779522407589134"/>
    <n v="0.9"/>
    <n v="110.05200000000001"/>
  </r>
  <r>
    <x v="6"/>
    <n v="200809045"/>
    <m/>
    <m/>
    <m/>
    <m/>
    <s v="Registreret hos FVST"/>
    <x v="1"/>
    <n v="99.743039914154593"/>
    <n v="2769.9490000000001"/>
    <n v="2777.085"/>
  </r>
  <r>
    <x v="7"/>
    <n v="200544472"/>
    <m/>
    <m/>
    <m/>
    <m/>
    <s v="Registreret hos FVST"/>
    <x v="1"/>
    <n v="88.661229066759347"/>
    <n v="2753.0810000000001"/>
    <n v="3105.1689999999999"/>
  </r>
  <r>
    <x v="8"/>
    <n v="200011554"/>
    <m/>
    <m/>
    <m/>
    <m/>
    <s v="Registreret hos FVST"/>
    <x v="1"/>
    <n v="99.895226739812372"/>
    <n v="1906.884"/>
    <n v="1908.884"/>
  </r>
  <r>
    <x v="9"/>
    <n v="200050751"/>
    <m/>
    <m/>
    <m/>
    <m/>
    <s v="Registreret hos FVST"/>
    <x v="1"/>
    <n v="98.525127966838156"/>
    <n v="670.029"/>
    <n v="680.05900000000008"/>
  </r>
  <r>
    <x v="10"/>
    <n v="200040875"/>
    <m/>
    <m/>
    <m/>
    <m/>
    <s v="Registreret hos FVST"/>
    <x v="1"/>
    <n v="96.434078320467961"/>
    <n v="1613.5619999999999"/>
    <n v="1673.2280000000001"/>
  </r>
  <r>
    <x v="11"/>
    <n v="200141541"/>
    <m/>
    <m/>
    <m/>
    <m/>
    <s v="Registreret hos FVST"/>
    <x v="1"/>
    <n v="94.340626614554637"/>
    <n v="1099.24"/>
    <n v="1165.182"/>
  </r>
  <r>
    <x v="12"/>
    <n v="200514277"/>
    <n v="1017035"/>
    <m/>
    <m/>
    <m/>
    <s v="Registreret hos FVST"/>
    <x v="1"/>
    <n v="96.410344718521443"/>
    <n v="1371.683"/>
    <n v="1422.7550000000001"/>
  </r>
  <r>
    <x v="13"/>
    <m/>
    <n v="1198425"/>
    <m/>
    <m/>
    <m/>
    <s v="Registreret hos FVST"/>
    <x v="1"/>
    <n v="65.918427922853283"/>
    <n v="195.43100000000001"/>
    <n v="296.47399999999999"/>
  </r>
  <r>
    <x v="14"/>
    <n v="200135519"/>
    <m/>
    <m/>
    <m/>
    <m/>
    <s v="Registreret hos FVST"/>
    <x v="1"/>
    <n v="90.987409455277728"/>
    <n v="1048.2249999999999"/>
    <n v="1152.0550000000001"/>
  </r>
  <r>
    <x v="15"/>
    <n v="200025919"/>
    <n v="2163049"/>
    <n v="1017038"/>
    <m/>
    <m/>
    <s v="Registreret hos FVST"/>
    <x v="1"/>
    <n v="99.375111292843627"/>
    <n v="1808.154"/>
    <n v="1819.5239999999999"/>
  </r>
  <r>
    <x v="16"/>
    <n v="200025926"/>
    <m/>
    <m/>
    <m/>
    <m/>
    <s v="Registreret hos FVST"/>
    <x v="1"/>
    <n v="79.366823074630062"/>
    <n v="2579.9670000000001"/>
    <n v="3250.6870000000004"/>
  </r>
  <r>
    <x v="17"/>
    <n v="200159577"/>
    <m/>
    <m/>
    <m/>
    <m/>
    <s v="Registreret hos FVST"/>
    <x v="1"/>
    <n v="96.500422541529716"/>
    <n v="3183.63"/>
    <n v="3299.0839999999998"/>
  </r>
  <r>
    <x v="18"/>
    <n v="200095578"/>
    <n v="2243447"/>
    <m/>
    <m/>
    <m/>
    <s v="Registreret hos FVST"/>
    <x v="0"/>
    <n v="31.248826379239119"/>
    <n v="199.69499999999999"/>
    <n v="639.048"/>
  </r>
  <r>
    <x v="19"/>
    <m/>
    <n v="2251396"/>
    <m/>
    <m/>
    <m/>
    <s v="Registreret hos FVST"/>
    <x v="2"/>
    <s v=" "/>
    <n v="0"/>
    <n v="0"/>
  </r>
  <r>
    <x v="20"/>
    <n v="200034485"/>
    <n v="1017649"/>
    <m/>
    <m/>
    <m/>
    <s v="Registreret hos FVST"/>
    <x v="1"/>
    <n v="99.938060360179009"/>
    <n v="1613.4749999999999"/>
    <n v="1614.4749999999999"/>
  </r>
  <r>
    <x v="21"/>
    <m/>
    <m/>
    <m/>
    <m/>
    <m/>
    <s v="Ikke registreret hos FVST"/>
    <x v="2"/>
    <s v=""/>
    <n v="0"/>
    <n v="0"/>
  </r>
  <r>
    <x v="22"/>
    <m/>
    <n v="2251036"/>
    <m/>
    <m/>
    <m/>
    <s v="Ikke registreret hos FVST"/>
    <x v="2"/>
    <n v="79.133377197104991"/>
    <n v="168.38"/>
    <n v="212.78"/>
  </r>
  <r>
    <x v="23"/>
    <m/>
    <n v="1192523"/>
    <m/>
    <m/>
    <m/>
    <s v="Registreret hos FVST"/>
    <x v="3"/>
    <n v="11.661721915924273"/>
    <n v="57.152000000000001"/>
    <n v="490.08199999999999"/>
  </r>
  <r>
    <x v="24"/>
    <m/>
    <n v="1149830"/>
    <m/>
    <m/>
    <m/>
    <s v="Ikke registreret hos FVST"/>
    <x v="2"/>
    <n v="1.2028776022196748"/>
    <n v="2.1720000000000002"/>
    <n v="180.56700000000001"/>
  </r>
  <r>
    <x v="25"/>
    <n v="200140049"/>
    <n v="2162723"/>
    <m/>
    <m/>
    <m/>
    <s v="Registreret hos FVST"/>
    <x v="1"/>
    <n v="75.183942787883666"/>
    <n v="597.98"/>
    <n v="795.35599999999999"/>
  </r>
  <r>
    <x v="26"/>
    <n v="200185279"/>
    <m/>
    <m/>
    <m/>
    <m/>
    <s v="Ikke registreret hos FVST"/>
    <x v="0"/>
    <s v=" "/>
    <n v="0"/>
    <n v="0"/>
  </r>
  <r>
    <x v="27"/>
    <n v="200012841"/>
    <n v="2248847"/>
    <m/>
    <m/>
    <m/>
    <s v="Registreret hos FVST"/>
    <x v="1"/>
    <n v="88.569603838423134"/>
    <n v="1366.009"/>
    <n v="1542.3"/>
  </r>
  <r>
    <x v="28"/>
    <n v="200107653"/>
    <m/>
    <m/>
    <m/>
    <m/>
    <s v="Registreret hos FVST"/>
    <x v="1"/>
    <n v="88.122592832921669"/>
    <n v="673.59500000000003"/>
    <n v="764.38400000000001"/>
  </r>
  <r>
    <x v="29"/>
    <n v="200040189"/>
    <n v="2164133"/>
    <m/>
    <m/>
    <m/>
    <s v="Registreret hos FVST"/>
    <x v="1"/>
    <n v="92.167540895451367"/>
    <n v="1967.624"/>
    <n v="2134.8339999999998"/>
  </r>
  <r>
    <x v="30"/>
    <m/>
    <m/>
    <m/>
    <m/>
    <m/>
    <s v="Ikke registreret hos FVST"/>
    <x v="0"/>
    <s v=" "/>
    <n v="0"/>
    <n v="0"/>
  </r>
  <r>
    <x v="31"/>
    <m/>
    <n v="2200834"/>
    <m/>
    <m/>
    <m/>
    <s v="Ikke registreret hos FVST"/>
    <x v="4"/>
    <s v=" "/>
    <n v="0"/>
    <n v="0"/>
  </r>
  <r>
    <x v="32"/>
    <m/>
    <m/>
    <m/>
    <m/>
    <m/>
    <s v="Ikke registreret hos FVST"/>
    <x v="0"/>
    <s v=" "/>
    <n v="0"/>
    <n v="0"/>
  </r>
  <r>
    <x v="33"/>
    <m/>
    <n v="2308205"/>
    <m/>
    <m/>
    <m/>
    <s v="Ikke registreret hos FVST"/>
    <x v="0"/>
    <s v=" "/>
    <n v="0"/>
    <n v="0"/>
  </r>
  <r>
    <x v="34"/>
    <m/>
    <m/>
    <m/>
    <m/>
    <m/>
    <s v="Ikke registreret hos FVST"/>
    <x v="0"/>
    <n v="100"/>
    <n v="30.84"/>
    <n v="30.84"/>
  </r>
  <r>
    <x v="35"/>
    <m/>
    <n v="2347486"/>
    <m/>
    <m/>
    <m/>
    <s v="Ikke registreret hos FVST"/>
    <x v="0"/>
    <n v="0"/>
    <n v="0"/>
    <n v="8.43"/>
  </r>
  <r>
    <x v="36"/>
    <m/>
    <n v="1066946"/>
    <m/>
    <m/>
    <m/>
    <s v="Registreret hos FVST"/>
    <x v="0"/>
    <n v="86.103341939185313"/>
    <n v="192.1"/>
    <n v="223.10400000000001"/>
  </r>
  <r>
    <x v="37"/>
    <m/>
    <n v="2164274"/>
    <m/>
    <m/>
    <m/>
    <s v="Ikke registreret hos FVST"/>
    <x v="4"/>
    <n v="52.293832944140256"/>
    <n v="144.88999999999999"/>
    <n v="277.06900000000002"/>
  </r>
  <r>
    <x v="38"/>
    <m/>
    <n v="1091281"/>
    <m/>
    <m/>
    <m/>
    <s v="Ikke registreret hos FVST"/>
    <x v="4"/>
    <n v="9.543288335544208"/>
    <n v="165.107"/>
    <n v="1730.085"/>
  </r>
  <r>
    <x v="39"/>
    <m/>
    <m/>
    <m/>
    <m/>
    <m/>
    <s v="Ikke registreret hos FVST"/>
    <x v="2"/>
    <n v="100"/>
    <n v="45.2"/>
    <n v="45.2"/>
  </r>
  <r>
    <x v="40"/>
    <m/>
    <m/>
    <m/>
    <m/>
    <m/>
    <s v="Ikke registreret hos FVST"/>
    <x v="1"/>
    <s v=" "/>
    <n v="0"/>
    <n v="0"/>
  </r>
  <r>
    <x v="41"/>
    <n v="200512464"/>
    <m/>
    <m/>
    <m/>
    <m/>
    <s v="Registreret hos FVST"/>
    <x v="1"/>
    <n v="98.985693262726528"/>
    <n v="1820.825"/>
    <n v="1839.4830000000002"/>
  </r>
  <r>
    <x v="42"/>
    <m/>
    <m/>
    <m/>
    <m/>
    <m/>
    <s v="Ikke registreret hos FVST"/>
    <x v="2"/>
    <s v=" "/>
    <n v="0"/>
    <n v="0"/>
  </r>
  <r>
    <x v="43"/>
    <s v="to numre; 200106717+200042992"/>
    <n v="1128479"/>
    <m/>
    <m/>
    <m/>
    <s v="Registreret hos FVST"/>
    <x v="4"/>
    <n v="32.033449902313095"/>
    <n v="1023.2730000000001"/>
    <n v="3194.3890000000001"/>
  </r>
  <r>
    <x v="44"/>
    <m/>
    <m/>
    <m/>
    <m/>
    <m/>
    <s v="Ikke registreret hos FVST"/>
    <x v="4"/>
    <n v="100"/>
    <n v="10"/>
    <n v="10"/>
  </r>
  <r>
    <x v="45"/>
    <m/>
    <m/>
    <m/>
    <m/>
    <m/>
    <s v="Ikke registreret hos FVST"/>
    <x v="4"/>
    <s v=" "/>
    <n v="0"/>
    <n v="0"/>
  </r>
  <r>
    <x v="46"/>
    <m/>
    <m/>
    <m/>
    <m/>
    <m/>
    <s v="Ikke registreret hos FVST"/>
    <x v="2"/>
    <n v="100"/>
    <n v="53.76"/>
    <n v="53.76"/>
  </r>
  <r>
    <x v="47"/>
    <m/>
    <n v="1111606"/>
    <n v="1145780"/>
    <m/>
    <m/>
    <s v="Ikke registreret hos FVST"/>
    <x v="5"/>
    <n v="29.14812559398457"/>
    <n v="177.58"/>
    <n v="609.23299999999995"/>
  </r>
  <r>
    <x v="48"/>
    <m/>
    <m/>
    <m/>
    <m/>
    <m/>
    <s v="Ikke registreret hos FVST"/>
    <x v="0"/>
    <s v=" "/>
    <n v="0"/>
    <n v="0"/>
  </r>
  <r>
    <x v="49"/>
    <m/>
    <n v="2296749"/>
    <n v="2296585"/>
    <m/>
    <m/>
    <s v="Ikke registreret hos FVST"/>
    <x v="2"/>
    <n v="100"/>
    <n v="245.238"/>
    <n v="245.238"/>
  </r>
  <r>
    <x v="50"/>
    <m/>
    <n v="1613945"/>
    <m/>
    <m/>
    <m/>
    <s v="Registreret hos FVST"/>
    <x v="1"/>
    <n v="60.476016846599762"/>
    <n v="114.443"/>
    <n v="189.23699999999999"/>
  </r>
  <r>
    <x v="51"/>
    <m/>
    <n v="2155984"/>
    <n v="1387175"/>
    <n v="2154841"/>
    <n v="2329044"/>
    <s v="Ikke registreret hos FVST"/>
    <x v="2"/>
    <n v="52.610550186275034"/>
    <n v="19.488"/>
    <n v="37.042000000000002"/>
  </r>
  <r>
    <x v="52"/>
    <n v="200049625"/>
    <m/>
    <m/>
    <m/>
    <m/>
    <s v="Registreret hos FVST"/>
    <x v="1"/>
    <n v="97.746583010401949"/>
    <n v="1869.3340000000001"/>
    <n v="1912.4290000000001"/>
  </r>
  <r>
    <x v="53"/>
    <m/>
    <n v="2312561"/>
    <m/>
    <m/>
    <m/>
    <s v="Ikke registreret hos FVST"/>
    <x v="2"/>
    <n v="21.561194988756824"/>
    <n v="33.56"/>
    <n v="155.65"/>
  </r>
  <r>
    <x v="54"/>
    <m/>
    <n v="2242256"/>
    <m/>
    <m/>
    <m/>
    <s v="Ikke registreret hos FVST"/>
    <x v="0"/>
    <n v="22.884707853143269"/>
    <n v="14.754"/>
    <n v="64.471000000000004"/>
  </r>
  <r>
    <x v="55"/>
    <n v="200042435"/>
    <m/>
    <m/>
    <m/>
    <m/>
    <s v="Registreret hos FVST"/>
    <x v="3"/>
    <n v="24.3794335789391"/>
    <n v="611.15899999999999"/>
    <n v="2506.8629999999998"/>
  </r>
  <r>
    <x v="56"/>
    <m/>
    <n v="2162988"/>
    <m/>
    <m/>
    <m/>
    <s v="Ikke registreret hos FVST"/>
    <x v="5"/>
    <n v="34.171090205147074"/>
    <n v="195.05199999999999"/>
    <n v="570.80999999999995"/>
  </r>
  <r>
    <x v="57"/>
    <n v="200044538"/>
    <m/>
    <m/>
    <m/>
    <m/>
    <s v="Ikke registreret hos FVST"/>
    <x v="4"/>
    <n v="58.675881405205608"/>
    <n v="465.43"/>
    <n v="793.22199999999998"/>
  </r>
  <r>
    <x v="58"/>
    <n v="200043647"/>
    <m/>
    <m/>
    <m/>
    <m/>
    <s v="Ikke registreret hos FVST"/>
    <x v="4"/>
    <n v="11.5126953125"/>
    <n v="82.522999999999996"/>
    <n v="716.8"/>
  </r>
  <r>
    <x v="59"/>
    <n v="200140674"/>
    <n v="2222649"/>
    <m/>
    <m/>
    <m/>
    <s v="Ikke registreret hos FVST"/>
    <x v="4"/>
    <n v="12.807363824958051"/>
    <n v="81.367999999999995"/>
    <n v="635.322"/>
  </r>
  <r>
    <x v="60"/>
    <n v="200055084"/>
    <n v="1346990"/>
    <n v="2162953"/>
    <m/>
    <m/>
    <s v="Registreret hos FVST"/>
    <x v="4"/>
    <n v="78.425097598688581"/>
    <n v="480.32000000000005"/>
    <n v="612.45699999999999"/>
  </r>
  <r>
    <x v="61"/>
    <n v="200182711"/>
    <m/>
    <m/>
    <m/>
    <m/>
    <s v="Ikke registreret hos FVST"/>
    <x v="2"/>
    <n v="45.810384471418637"/>
    <n v="25.701000000000001"/>
    <n v="56.103000000000002"/>
  </r>
  <r>
    <x v="62"/>
    <n v="200652832"/>
    <m/>
    <m/>
    <m/>
    <m/>
    <s v="Registreret hos FVST"/>
    <x v="6"/>
    <n v="59.955198753903886"/>
    <n v="1219.412"/>
    <n v="2033.8719999999998"/>
  </r>
  <r>
    <x v="63"/>
    <n v="200536248"/>
    <m/>
    <m/>
    <m/>
    <m/>
    <s v="Registreret hos FVST"/>
    <x v="6"/>
    <n v="46.666207844230556"/>
    <n v="800.10799999999995"/>
    <n v="1714.5339999999999"/>
  </r>
  <r>
    <x v="64"/>
    <n v="200692968"/>
    <m/>
    <m/>
    <m/>
    <m/>
    <s v="Registreret hos FVST"/>
    <x v="6"/>
    <n v="53.871556575651461"/>
    <n v="7959.8009999999995"/>
    <n v="14775.517"/>
  </r>
  <r>
    <x v="65"/>
    <n v="200652849"/>
    <m/>
    <m/>
    <m/>
    <m/>
    <s v="Registreret hos FVST"/>
    <x v="6"/>
    <n v="42.900539852342831"/>
    <n v="741.9849999999999"/>
    <n v="1729.547"/>
  </r>
  <r>
    <x v="66"/>
    <n v="200652900"/>
    <m/>
    <m/>
    <m/>
    <m/>
    <s v="Registreret hos FVST"/>
    <x v="6"/>
    <n v="21.712211616805789"/>
    <n v="303.52"/>
    <n v="1397.923"/>
  </r>
  <r>
    <x v="67"/>
    <n v="200221267"/>
    <m/>
    <m/>
    <m/>
    <m/>
    <m/>
    <x v="6"/>
    <n v="44.309731697899828"/>
    <n v="469.36900000000003"/>
    <n v="1059.2909999999999"/>
  </r>
  <r>
    <x v="68"/>
    <m/>
    <n v="2163130"/>
    <n v="1088515"/>
    <m/>
    <m/>
    <s v="Ikke registreret hos FVST"/>
    <x v="4"/>
    <n v="50.630011960297104"/>
    <n v="344.15699999999998"/>
    <n v="679.74900000000002"/>
  </r>
  <r>
    <x v="69"/>
    <n v="200039428"/>
    <m/>
    <m/>
    <m/>
    <m/>
    <s v="Registreret hos FVST"/>
    <x v="3"/>
    <n v="71.516172009148136"/>
    <n v="687.63299999999992"/>
    <n v="961.50699999999995"/>
  </r>
  <r>
    <x v="70"/>
    <s v="To numre; 200159676; 200220246"/>
    <n v="2180848"/>
    <n v="1501208"/>
    <m/>
    <m/>
    <s v="Ikke registreret hos FVST"/>
    <x v="2"/>
    <n v="29.122078824043939"/>
    <n v="177.79000000000002"/>
    <n v="610.49900000000014"/>
  </r>
  <r>
    <x v="71"/>
    <m/>
    <n v="1166810"/>
    <m/>
    <m/>
    <m/>
    <s v="Ikke registreret hos FVST"/>
    <x v="5"/>
    <e v="#DIV/0!"/>
    <n v="0"/>
    <n v="0"/>
  </r>
  <r>
    <x v="72"/>
    <m/>
    <n v="1043650"/>
    <m/>
    <m/>
    <m/>
    <s v="Registreret hos FVST"/>
    <x v="0"/>
    <n v="81.349474479848141"/>
    <n v="1136.5269999999998"/>
    <n v="1397.0919999999999"/>
  </r>
  <r>
    <x v="73"/>
    <m/>
    <m/>
    <m/>
    <m/>
    <m/>
    <m/>
    <x v="6"/>
    <s v=" "/>
    <n v="0"/>
    <n v="0"/>
  </r>
  <r>
    <x v="74"/>
    <n v="200138510"/>
    <m/>
    <m/>
    <m/>
    <m/>
    <s v="Registreret hos FVST"/>
    <x v="1"/>
    <n v="99.951085474367844"/>
    <n v="1260.7670000000001"/>
    <n v="1261.384"/>
  </r>
  <r>
    <x v="75"/>
    <n v="200041414"/>
    <m/>
    <m/>
    <m/>
    <m/>
    <s v="Registreret hos FVST"/>
    <x v="1"/>
    <n v="91.5690917750116"/>
    <n v="1799.6329999999998"/>
    <n v="1965.328"/>
  </r>
  <r>
    <x v="76"/>
    <m/>
    <n v="2174467"/>
    <n v="2172346"/>
    <n v="2165538"/>
    <m/>
    <s v="Registreret hos FVST"/>
    <x v="6"/>
    <n v="39.088335189463827"/>
    <n v="352.73900000000003"/>
    <n v="902.41500000000008"/>
  </r>
  <r>
    <x v="77"/>
    <n v="200137940"/>
    <n v="2163076"/>
    <m/>
    <m/>
    <m/>
    <s v="Registreret hos FVST"/>
    <x v="1"/>
    <n v="95.782349078514699"/>
    <n v="749.74400000000003"/>
    <n v="782.75800000000004"/>
  </r>
  <r>
    <x v="78"/>
    <m/>
    <m/>
    <m/>
    <m/>
    <m/>
    <s v="Ikke registreret hos FVST"/>
    <x v="6"/>
    <s v=" "/>
    <n v="0"/>
    <n v="0"/>
  </r>
  <r>
    <x v="79"/>
    <m/>
    <n v="1611791"/>
    <m/>
    <m/>
    <m/>
    <s v="Ikke registreret hos FVST"/>
    <x v="1"/>
    <n v="0.82474226804123718"/>
    <n v="0.36"/>
    <n v="43.65"/>
  </r>
  <r>
    <x v="80"/>
    <s v="TO numre; 200079202; 200531038"/>
    <m/>
    <m/>
    <m/>
    <m/>
    <s v="Registreret hos FVST"/>
    <x v="7"/>
    <n v="77.178859048987349"/>
    <n v="8916.32"/>
    <n v="11552.800999999999"/>
  </r>
  <r>
    <x v="81"/>
    <n v="200031637"/>
    <m/>
    <m/>
    <m/>
    <m/>
    <s v="Ikke registreret hos FVST"/>
    <x v="2"/>
    <n v="14.64754182252787"/>
    <n v="88.730999999999995"/>
    <n v="605.774"/>
  </r>
  <r>
    <x v="82"/>
    <m/>
    <n v="1383843"/>
    <m/>
    <m/>
    <m/>
    <s v="Ikke registreret hos FVST"/>
    <x v="0"/>
    <n v="81.166772352568174"/>
    <n v="25.6"/>
    <n v="31.54"/>
  </r>
  <r>
    <x v="83"/>
    <n v="200536200"/>
    <m/>
    <m/>
    <m/>
    <m/>
    <s v="Registreret hos FVST"/>
    <x v="6"/>
    <n v="56.555227355596664"/>
    <n v="1014.3869999999999"/>
    <n v="1793.6220000000001"/>
  </r>
  <r>
    <x v="84"/>
    <m/>
    <n v="1365582"/>
    <m/>
    <m/>
    <m/>
    <s v="Ikke registreret hos FVST"/>
    <x v="4"/>
    <s v=" "/>
    <n v="0"/>
    <n v="0"/>
  </r>
  <r>
    <x v="85"/>
    <n v="200021706"/>
    <m/>
    <m/>
    <m/>
    <m/>
    <s v="Registreret hos FVST"/>
    <x v="1"/>
    <n v="93.196987518435733"/>
    <n v="1472.97"/>
    <n v="1580.491"/>
  </r>
  <r>
    <x v="86"/>
    <m/>
    <n v="2164335"/>
    <n v="2223363"/>
    <m/>
    <m/>
    <m/>
    <x v="4"/>
    <n v="11.106122012615291"/>
    <n v="57.136000000000003"/>
    <n v="514.45500000000004"/>
  </r>
  <r>
    <x v="87"/>
    <n v="200166322"/>
    <n v="2161308"/>
    <m/>
    <m/>
    <m/>
    <s v="Ikke registreret hos FVST"/>
    <x v="5"/>
    <n v="9.3320630402093698"/>
    <n v="32.520000000000003"/>
    <n v="348.476"/>
  </r>
  <r>
    <x v="88"/>
    <m/>
    <n v="2214784"/>
    <m/>
    <m/>
    <m/>
    <s v="Ikke registreret hos FVST"/>
    <x v="2"/>
    <n v="21.156336329976277"/>
    <n v="113.87800000000001"/>
    <n v="538.26900000000001"/>
  </r>
  <r>
    <x v="89"/>
    <m/>
    <n v="1613144"/>
    <m/>
    <m/>
    <m/>
    <s v="Ikke registreret hos FVST"/>
    <x v="2"/>
    <n v="50.874416150706821"/>
    <n v="32.784999999999997"/>
    <n v="64.442999999999998"/>
  </r>
  <r>
    <x v="90"/>
    <n v="200012124"/>
    <n v="1232086"/>
    <m/>
    <m/>
    <m/>
    <s v="Registreret hos FVST"/>
    <x v="1"/>
    <n v="92.163513329195069"/>
    <n v="2648.7719999999999"/>
    <n v="2873.9920000000002"/>
  </r>
  <r>
    <x v="91"/>
    <m/>
    <n v="1136302"/>
    <m/>
    <m/>
    <m/>
    <m/>
    <x v="4"/>
    <n v="51.819017244175356"/>
    <n v="239.65"/>
    <n v="462.47500000000002"/>
  </r>
  <r>
    <x v="92"/>
    <n v="200031620"/>
    <m/>
    <m/>
    <m/>
    <m/>
    <s v="Registreret hos FVST"/>
    <x v="3"/>
    <n v="87.233490057281443"/>
    <n v="853.27700000000004"/>
    <n v="978.15300000000002"/>
  </r>
  <r>
    <x v="93"/>
    <m/>
    <n v="1098703"/>
    <m/>
    <m/>
    <m/>
    <s v="Ikke registreret hos FVST"/>
    <x v="5"/>
    <n v="12.179740705728012"/>
    <n v="50.505000000000003"/>
    <n v="414.66399999999999"/>
  </r>
  <r>
    <x v="94"/>
    <m/>
    <n v="1174958"/>
    <m/>
    <m/>
    <m/>
    <s v="Ikke registreret hos FVST"/>
    <x v="0"/>
    <s v=" "/>
    <n v="0"/>
    <n v="0"/>
  </r>
  <r>
    <x v="95"/>
    <n v="200031514"/>
    <m/>
    <m/>
    <m/>
    <m/>
    <s v="Registreret hos FVST"/>
    <x v="6"/>
    <n v="61.820624713199614"/>
    <n v="1459.0229999999999"/>
    <n v="2360.0909999999999"/>
  </r>
  <r>
    <x v="96"/>
    <m/>
    <n v="1218014"/>
    <m/>
    <m/>
    <m/>
    <s v="Ikke registreret hos FVST"/>
    <x v="0"/>
    <n v="41.381819305902503"/>
    <n v="1070.9469999999999"/>
    <n v="2587.9650000000001"/>
  </r>
  <r>
    <x v="97"/>
    <n v="200536224"/>
    <m/>
    <m/>
    <m/>
    <m/>
    <s v="Registreret hos FVST"/>
    <x v="6"/>
    <n v="61.295170002926305"/>
    <n v="1395.018"/>
    <n v="2275.902"/>
  </r>
  <r>
    <x v="98"/>
    <s v="TO numre; 200525105; 200525099"/>
    <m/>
    <m/>
    <m/>
    <m/>
    <s v="Registreret hos FVST"/>
    <x v="4"/>
    <n v="65.73285065486742"/>
    <n v="877.38499999999999"/>
    <n v="1334.7739999999999"/>
  </r>
  <r>
    <x v="99"/>
    <m/>
    <n v="1096809"/>
    <m/>
    <m/>
    <m/>
    <s v="Ikke registreret hos FVST"/>
    <x v="2"/>
    <n v="18.8887295441146"/>
    <n v="11.853999999999999"/>
    <n v="62.756999999999998"/>
  </r>
  <r>
    <x v="100"/>
    <m/>
    <n v="1216525"/>
    <m/>
    <m/>
    <m/>
    <s v="Ikke registreret hos FVST"/>
    <x v="5"/>
    <n v="14.320975771810726"/>
    <n v="92.251000000000005"/>
    <n v="644.16700000000003"/>
  </r>
  <r>
    <x v="101"/>
    <m/>
    <n v="1199339"/>
    <n v="1573820"/>
    <m/>
    <m/>
    <s v="Ikke registreret hos FVST"/>
    <x v="2"/>
    <n v="48.970407957419738"/>
    <n v="94.674000000000007"/>
    <n v="193.32900000000001"/>
  </r>
  <r>
    <x v="102"/>
    <m/>
    <n v="1839601"/>
    <m/>
    <m/>
    <m/>
    <s v="Ikke registreret hos FVST"/>
    <x v="0"/>
    <n v="37.395495038389932"/>
    <n v="211.52499999999998"/>
    <n v="565.64300000000003"/>
  </r>
  <r>
    <x v="103"/>
    <m/>
    <n v="1123703"/>
    <m/>
    <m/>
    <m/>
    <s v="Registreret hos FVST"/>
    <x v="4"/>
    <n v="22.131386059790813"/>
    <n v="80.617999999999995"/>
    <n v="364.27"/>
  </r>
  <r>
    <x v="104"/>
    <n v="200033969"/>
    <n v="2167011"/>
    <m/>
    <m/>
    <m/>
    <s v="Registreret hos FVST"/>
    <x v="4"/>
    <n v="5.113134134650049"/>
    <n v="76.587999999999994"/>
    <n v="1497.8679999999999"/>
  </r>
  <r>
    <x v="105"/>
    <m/>
    <n v="2144619"/>
    <m/>
    <m/>
    <m/>
    <s v="Ikke registreret hos FVST"/>
    <x v="0"/>
    <n v="40.545672757691555"/>
    <n v="326.685"/>
    <n v="805.721"/>
  </r>
  <r>
    <x v="106"/>
    <m/>
    <m/>
    <m/>
    <m/>
    <m/>
    <s v="Ikke registreret hos FVST"/>
    <x v="2"/>
    <e v="#DIV/0!"/>
    <n v="0"/>
    <n v="0"/>
  </r>
  <r>
    <x v="107"/>
    <m/>
    <n v="1004359"/>
    <n v="2230005"/>
    <n v="2231699"/>
    <n v="1380376"/>
    <s v="Ikke registreret hos FVST"/>
    <x v="5"/>
    <n v="23.523911264783994"/>
    <n v="86.54"/>
    <n v="367.88099999999997"/>
  </r>
  <r>
    <x v="108"/>
    <n v="200023854"/>
    <m/>
    <m/>
    <m/>
    <m/>
    <s v="Registreret hos FVST"/>
    <x v="0"/>
    <n v="49.076669251456018"/>
    <n v="1487.2930000000001"/>
    <n v="3030.5499999999997"/>
  </r>
  <r>
    <x v="109"/>
    <n v="200541495"/>
    <m/>
    <m/>
    <m/>
    <m/>
    <s v="Registreret hos FVST"/>
    <x v="1"/>
    <n v="96.209282171086898"/>
    <n v="1619.69"/>
    <n v="1683.50700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9D16C0-C212-439C-857A-57BA081B22F3}" name="Pivottabel1" cacheId="0" applyNumberFormats="0" applyBorderFormats="0" applyFontFormats="0" applyPatternFormats="0" applyAlignmentFormats="0" applyWidthHeightFormats="1" dataCaption="Værdier" updatedVersion="8" minRefreshableVersion="3" useAutoFormatting="1" itemPrintTitles="1" createdVersion="8" indent="0" outline="1" outlineData="1" multipleFieldFilters="0">
  <location ref="A2:D121" firstHeaderRow="0" firstDataRow="1" firstDataCol="1"/>
  <pivotFields count="13">
    <pivotField axis="axisRow" showAll="0">
      <items count="135">
        <item x="0"/>
        <item x="2"/>
        <item x="3"/>
        <item x="4"/>
        <item x="6"/>
        <item m="1" x="118"/>
        <item m="1" x="119"/>
        <item m="1" x="110"/>
        <item x="8"/>
        <item x="9"/>
        <item x="10"/>
        <item x="11"/>
        <item x="12"/>
        <item x="14"/>
        <item x="15"/>
        <item x="16"/>
        <item x="17"/>
        <item x="18"/>
        <item x="19"/>
        <item x="20"/>
        <item x="23"/>
        <item m="1" x="114"/>
        <item m="1" x="120"/>
        <item x="28"/>
        <item x="29"/>
        <item x="36"/>
        <item x="41"/>
        <item x="43"/>
        <item x="50"/>
        <item x="52"/>
        <item m="1" x="122"/>
        <item x="60"/>
        <item x="62"/>
        <item x="63"/>
        <item x="64"/>
        <item x="65"/>
        <item x="66"/>
        <item m="1" x="127"/>
        <item x="72"/>
        <item x="74"/>
        <item x="75"/>
        <item x="76"/>
        <item x="77"/>
        <item x="80"/>
        <item x="83"/>
        <item m="1" x="131"/>
        <item m="1" x="112"/>
        <item x="92"/>
        <item x="95"/>
        <item x="97"/>
        <item x="98"/>
        <item x="104"/>
        <item x="108"/>
        <item x="109"/>
        <item x="1"/>
        <item x="21"/>
        <item x="22"/>
        <item x="24"/>
        <item x="25"/>
        <item x="26"/>
        <item x="30"/>
        <item x="31"/>
        <item x="32"/>
        <item x="33"/>
        <item x="34"/>
        <item x="35"/>
        <item x="37"/>
        <item x="38"/>
        <item x="39"/>
        <item x="40"/>
        <item m="1" x="121"/>
        <item x="42"/>
        <item m="1" x="128"/>
        <item x="45"/>
        <item x="46"/>
        <item x="47"/>
        <item x="48"/>
        <item x="49"/>
        <item x="51"/>
        <item x="53"/>
        <item x="54"/>
        <item x="56"/>
        <item x="57"/>
        <item x="58"/>
        <item x="59"/>
        <item m="1" x="133"/>
        <item m="1" x="129"/>
        <item m="1" x="132"/>
        <item x="70"/>
        <item x="71"/>
        <item x="73"/>
        <item x="78"/>
        <item x="79"/>
        <item x="81"/>
        <item x="82"/>
        <item x="84"/>
        <item m="1" x="116"/>
        <item x="86"/>
        <item x="87"/>
        <item x="88"/>
        <item x="89"/>
        <item m="1" x="130"/>
        <item m="1" x="123"/>
        <item x="94"/>
        <item x="96"/>
        <item x="99"/>
        <item x="100"/>
        <item x="101"/>
        <item x="103"/>
        <item m="1" x="126"/>
        <item m="1" x="124"/>
        <item m="1" x="125"/>
        <item x="5"/>
        <item x="44"/>
        <item x="61"/>
        <item x="68"/>
        <item m="1" x="115"/>
        <item m="1" x="117"/>
        <item x="91"/>
        <item x="102"/>
        <item x="105"/>
        <item m="1" x="113"/>
        <item m="1" x="111"/>
        <item x="55"/>
        <item x="93"/>
        <item x="106"/>
        <item x="107"/>
        <item x="27"/>
        <item x="69"/>
        <item x="85"/>
        <item x="7"/>
        <item x="13"/>
        <item x="90"/>
        <item x="67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9">
        <item x="1"/>
        <item x="4"/>
        <item x="2"/>
        <item x="7"/>
        <item x="3"/>
        <item x="0"/>
        <item x="6"/>
        <item x="5"/>
        <item t="default"/>
      </items>
    </pivotField>
    <pivotField showAll="0"/>
    <pivotField dataField="1" numFmtId="165" showAll="0"/>
    <pivotField dataField="1" numFmtId="165" showAll="0"/>
    <pivotField dragToRow="0" dragToCol="0" dragToPage="0" showAll="0" defaultSubtotal="0"/>
    <pivotField dataField="1" dragToRow="0" dragToCol="0" dragToPage="0" showAll="0" defaultSubtotal="0"/>
  </pivotFields>
  <rowFields count="2">
    <field x="7"/>
    <field x="0"/>
  </rowFields>
  <rowItems count="119">
    <i>
      <x/>
    </i>
    <i r="1">
      <x v="1"/>
    </i>
    <i r="1">
      <x v="2"/>
    </i>
    <i r="1">
      <x v="3"/>
    </i>
    <i r="1">
      <x v="4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9"/>
    </i>
    <i r="1">
      <x v="23"/>
    </i>
    <i r="1">
      <x v="24"/>
    </i>
    <i r="1">
      <x v="26"/>
    </i>
    <i r="1">
      <x v="28"/>
    </i>
    <i r="1">
      <x v="29"/>
    </i>
    <i r="1">
      <x v="39"/>
    </i>
    <i r="1">
      <x v="40"/>
    </i>
    <i r="1">
      <x v="42"/>
    </i>
    <i r="1">
      <x v="53"/>
    </i>
    <i r="1">
      <x v="58"/>
    </i>
    <i r="1">
      <x v="69"/>
    </i>
    <i r="1">
      <x v="92"/>
    </i>
    <i r="1">
      <x v="127"/>
    </i>
    <i r="1">
      <x v="129"/>
    </i>
    <i r="1">
      <x v="130"/>
    </i>
    <i r="1">
      <x v="131"/>
    </i>
    <i r="1">
      <x v="132"/>
    </i>
    <i>
      <x v="1"/>
    </i>
    <i r="1">
      <x v="27"/>
    </i>
    <i r="1">
      <x v="31"/>
    </i>
    <i r="1">
      <x v="50"/>
    </i>
    <i r="1">
      <x v="51"/>
    </i>
    <i r="1">
      <x v="61"/>
    </i>
    <i r="1">
      <x v="66"/>
    </i>
    <i r="1">
      <x v="67"/>
    </i>
    <i r="1">
      <x v="73"/>
    </i>
    <i r="1">
      <x v="82"/>
    </i>
    <i r="1">
      <x v="83"/>
    </i>
    <i r="1">
      <x v="84"/>
    </i>
    <i r="1">
      <x v="95"/>
    </i>
    <i r="1">
      <x v="97"/>
    </i>
    <i r="1">
      <x v="108"/>
    </i>
    <i r="1">
      <x v="113"/>
    </i>
    <i r="1">
      <x v="115"/>
    </i>
    <i r="1">
      <x v="118"/>
    </i>
    <i>
      <x v="2"/>
    </i>
    <i r="1">
      <x v="18"/>
    </i>
    <i r="1">
      <x v="55"/>
    </i>
    <i r="1">
      <x v="56"/>
    </i>
    <i r="1">
      <x v="57"/>
    </i>
    <i r="1">
      <x v="68"/>
    </i>
    <i r="1">
      <x v="71"/>
    </i>
    <i r="1">
      <x v="74"/>
    </i>
    <i r="1">
      <x v="77"/>
    </i>
    <i r="1">
      <x v="78"/>
    </i>
    <i r="1">
      <x v="79"/>
    </i>
    <i r="1">
      <x v="88"/>
    </i>
    <i r="1">
      <x v="93"/>
    </i>
    <i r="1">
      <x v="99"/>
    </i>
    <i r="1">
      <x v="100"/>
    </i>
    <i r="1">
      <x v="105"/>
    </i>
    <i r="1">
      <x v="107"/>
    </i>
    <i r="1">
      <x v="112"/>
    </i>
    <i r="1">
      <x v="114"/>
    </i>
    <i r="1">
      <x v="125"/>
    </i>
    <i>
      <x v="3"/>
    </i>
    <i r="1">
      <x v="43"/>
    </i>
    <i>
      <x v="4"/>
    </i>
    <i r="1">
      <x v="20"/>
    </i>
    <i r="1">
      <x v="47"/>
    </i>
    <i r="1">
      <x v="123"/>
    </i>
    <i r="1">
      <x v="128"/>
    </i>
    <i>
      <x v="5"/>
    </i>
    <i r="1">
      <x/>
    </i>
    <i r="1">
      <x v="17"/>
    </i>
    <i r="1">
      <x v="25"/>
    </i>
    <i r="1">
      <x v="38"/>
    </i>
    <i r="1">
      <x v="52"/>
    </i>
    <i r="1">
      <x v="54"/>
    </i>
    <i r="1">
      <x v="59"/>
    </i>
    <i r="1">
      <x v="60"/>
    </i>
    <i r="1">
      <x v="62"/>
    </i>
    <i r="1">
      <x v="63"/>
    </i>
    <i r="1">
      <x v="64"/>
    </i>
    <i r="1">
      <x v="65"/>
    </i>
    <i r="1">
      <x v="76"/>
    </i>
    <i r="1">
      <x v="80"/>
    </i>
    <i r="1">
      <x v="94"/>
    </i>
    <i r="1">
      <x v="103"/>
    </i>
    <i r="1">
      <x v="104"/>
    </i>
    <i r="1">
      <x v="119"/>
    </i>
    <i r="1">
      <x v="120"/>
    </i>
    <i>
      <x v="6"/>
    </i>
    <i r="1">
      <x v="32"/>
    </i>
    <i r="1">
      <x v="33"/>
    </i>
    <i r="1">
      <x v="34"/>
    </i>
    <i r="1">
      <x v="35"/>
    </i>
    <i r="1">
      <x v="36"/>
    </i>
    <i r="1">
      <x v="41"/>
    </i>
    <i r="1">
      <x v="44"/>
    </i>
    <i r="1">
      <x v="48"/>
    </i>
    <i r="1">
      <x v="49"/>
    </i>
    <i r="1">
      <x v="90"/>
    </i>
    <i r="1">
      <x v="91"/>
    </i>
    <i r="1">
      <x v="133"/>
    </i>
    <i>
      <x v="7"/>
    </i>
    <i r="1">
      <x v="75"/>
    </i>
    <i r="1">
      <x v="81"/>
    </i>
    <i r="1">
      <x v="89"/>
    </i>
    <i r="1">
      <x v="98"/>
    </i>
    <i r="1">
      <x v="106"/>
    </i>
    <i r="1">
      <x v="124"/>
    </i>
    <i r="1">
      <x v="1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af Øko kg" fld="9" baseField="0" baseItem="6" numFmtId="3"/>
    <dataField name="Sum af Omfattet kg" fld="10" baseField="0" baseItem="6" numFmtId="3"/>
    <dataField name="Sum af Øko%" fld="12" baseField="0" baseItem="6" numFmtId="9"/>
  </dataField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FD126-F881-484A-9E58-402A860B3A47}">
  <dimension ref="A1:E57"/>
  <sheetViews>
    <sheetView tabSelected="1" zoomScale="78" workbookViewId="0">
      <pane ySplit="3" topLeftCell="A4" activePane="bottomLeft" state="frozen"/>
      <selection pane="bottomLeft" activeCell="J43" sqref="J43"/>
    </sheetView>
  </sheetViews>
  <sheetFormatPr defaultRowHeight="15" x14ac:dyDescent="0.25"/>
  <cols>
    <col min="1" max="1" width="51.7109375" customWidth="1"/>
    <col min="2" max="2" width="12.28515625" customWidth="1"/>
    <col min="3" max="3" width="8.7109375" customWidth="1"/>
  </cols>
  <sheetData>
    <row r="1" spans="1:5" ht="21" x14ac:dyDescent="0.35">
      <c r="A1" s="9" t="s">
        <v>41</v>
      </c>
      <c r="B1" s="9"/>
    </row>
    <row r="2" spans="1:5" x14ac:dyDescent="0.25">
      <c r="A2" s="1"/>
      <c r="B2" s="1"/>
      <c r="C2" s="6" t="s">
        <v>40</v>
      </c>
      <c r="D2" s="6" t="s">
        <v>39</v>
      </c>
      <c r="E2" s="6" t="s">
        <v>38</v>
      </c>
    </row>
    <row r="3" spans="1:5" x14ac:dyDescent="0.25">
      <c r="A3" s="1"/>
      <c r="B3" s="6" t="str">
        <f>+'Øko% Alle køkkener'!A1</f>
        <v>4. kvartal 24</v>
      </c>
      <c r="C3" s="6" t="s">
        <v>42</v>
      </c>
      <c r="D3" s="6" t="s">
        <v>43</v>
      </c>
      <c r="E3" s="6" t="s">
        <v>44</v>
      </c>
    </row>
    <row r="4" spans="1:5" x14ac:dyDescent="0.25">
      <c r="A4" s="6" t="str">
        <f>'Øko% Alle køkkener'!A3</f>
        <v>Institutionsnavn</v>
      </c>
      <c r="B4" s="6"/>
      <c r="C4" s="6"/>
      <c r="D4" s="1"/>
      <c r="E4" s="6"/>
    </row>
    <row r="5" spans="1:5" x14ac:dyDescent="0.25">
      <c r="A5" s="1" t="str">
        <f>'Øko% kommunale køkk. m. smiley'!A5</f>
        <v>Anais Kulturcafé, Farum Kulturhus</v>
      </c>
      <c r="B5" s="17">
        <f>+VLOOKUP(A5,'Øko% Alle køkkener'!$A$5:$I$114,9,FALSE)</f>
        <v>62.562087626955289</v>
      </c>
      <c r="C5" s="1"/>
      <c r="D5" s="1">
        <v>1</v>
      </c>
      <c r="E5" s="1"/>
    </row>
    <row r="6" spans="1:5" x14ac:dyDescent="0.25">
      <c r="A6" s="1" t="str">
        <f>'Øko% kommunale køkk. m. smiley'!A6</f>
        <v>Børnehuset Atlantis (Tidl. Børnehusene, Ryttergårdsvej)</v>
      </c>
      <c r="B6" s="17">
        <f>+VLOOKUP(A6,'Øko% Alle køkkener'!$A$5:$I$114,9,FALSE)</f>
        <v>88.888562838458952</v>
      </c>
      <c r="C6" s="1"/>
      <c r="D6" s="1"/>
      <c r="E6" s="1"/>
    </row>
    <row r="7" spans="1:5" x14ac:dyDescent="0.25">
      <c r="A7" s="1" t="str">
        <f>'Øko% kommunale køkk. m. smiley'!A7</f>
        <v>Børnehuset Birkedal</v>
      </c>
      <c r="B7" s="17">
        <f>+VLOOKUP(A7,'Øko% Alle køkkener'!$A$5:$I$114,9,FALSE)</f>
        <v>79.32388672828435</v>
      </c>
      <c r="C7" s="1"/>
      <c r="D7" s="1">
        <v>1</v>
      </c>
      <c r="E7" s="1"/>
    </row>
    <row r="8" spans="1:5" x14ac:dyDescent="0.25">
      <c r="A8" s="1" t="str">
        <f>'Øko% kommunale køkk. m. smiley'!A8</f>
        <v>Børnehuset Birkhøj</v>
      </c>
      <c r="B8" s="17">
        <f>+VLOOKUP(A8,'Øko% Alle køkkener'!$A$5:$I$114,9,FALSE)</f>
        <v>80.009127706801962</v>
      </c>
      <c r="C8" s="1"/>
      <c r="D8" s="1">
        <v>1</v>
      </c>
      <c r="E8" s="1"/>
    </row>
    <row r="9" spans="1:5" x14ac:dyDescent="0.25">
      <c r="A9" s="1" t="str">
        <f>'Øko% kommunale køkk. m. smiley'!A9</f>
        <v>Børnehuset Bøgely</v>
      </c>
      <c r="B9" s="17">
        <f>+VLOOKUP(A9,'Øko% Alle køkkener'!$A$5:$I$114,9,FALSE)</f>
        <v>99.743039914154593</v>
      </c>
      <c r="C9" s="1"/>
      <c r="D9" s="1"/>
      <c r="E9" s="1">
        <v>1</v>
      </c>
    </row>
    <row r="10" spans="1:5" x14ac:dyDescent="0.25">
      <c r="A10" s="1" t="str">
        <f>'Øko% kommunale køkk. m. smiley'!A10</f>
        <v>Børnehuset Egetræet</v>
      </c>
      <c r="B10" s="17">
        <f>+VLOOKUP(A10,'Øko% Alle køkkener'!$A$5:$I$114,9,FALSE)</f>
        <v>88.661229066759347</v>
      </c>
      <c r="C10" s="1"/>
      <c r="D10" s="1">
        <v>1</v>
      </c>
      <c r="E10" s="131"/>
    </row>
    <row r="11" spans="1:5" x14ac:dyDescent="0.25">
      <c r="A11" s="1" t="str">
        <f>'Øko% kommunale køkk. m. smiley'!A11</f>
        <v>Børnehuset Kirke Værløse</v>
      </c>
      <c r="B11" s="17">
        <f>+VLOOKUP(A11,'Øko% Alle køkkener'!$A$5:$I$114,9,FALSE)</f>
        <v>99.895226739812372</v>
      </c>
      <c r="C11" s="1"/>
      <c r="D11" s="1"/>
      <c r="E11" s="1">
        <v>1</v>
      </c>
    </row>
    <row r="12" spans="1:5" x14ac:dyDescent="0.25">
      <c r="A12" s="1" t="str">
        <f>'Øko% kommunale køkk. m. smiley'!A12</f>
        <v>Børnehuset Lyngholm nr. 15 (vuggest.)</v>
      </c>
      <c r="B12" s="17">
        <f>+VLOOKUP(A12,'Øko% Alle køkkener'!$A$5:$I$114,9,FALSE)</f>
        <v>98.525127966838156</v>
      </c>
      <c r="C12" s="1"/>
      <c r="D12" s="1"/>
      <c r="E12" s="1">
        <v>1</v>
      </c>
    </row>
    <row r="13" spans="1:5" x14ac:dyDescent="0.25">
      <c r="A13" s="1" t="str">
        <f>'Øko% kommunale køkk. m. smiley'!A13</f>
        <v>Børnehuset Lyngholm nr. 17 (børneh.)</v>
      </c>
      <c r="B13" s="17">
        <f>+VLOOKUP(A13,'Øko% Alle køkkener'!$A$5:$I$114,9,FALSE)</f>
        <v>96.434078320467961</v>
      </c>
      <c r="C13" s="1"/>
      <c r="D13" s="1"/>
      <c r="E13" s="132">
        <v>1</v>
      </c>
    </row>
    <row r="14" spans="1:5" x14ac:dyDescent="0.25">
      <c r="A14" s="1" t="str">
        <f>'Øko% kommunale køkk. m. smiley'!A14</f>
        <v>Børnehuset Mimers Brønd</v>
      </c>
      <c r="B14" s="17">
        <f>+VLOOKUP(A14,'Øko% Alle køkkener'!$A$5:$I$114,9,FALSE)</f>
        <v>94.340626614554637</v>
      </c>
      <c r="C14" s="1"/>
      <c r="D14" s="1">
        <v>1</v>
      </c>
      <c r="E14" s="1"/>
    </row>
    <row r="15" spans="1:5" x14ac:dyDescent="0.25">
      <c r="A15" s="1" t="str">
        <f>'Øko% kommunale køkk. m. smiley'!A15</f>
        <v>Børnehuset Nørreskoven</v>
      </c>
      <c r="B15" s="17">
        <f>+VLOOKUP(A15,'Øko% Alle køkkener'!$A$5:$I$114,9,FALSE)</f>
        <v>96.410344718521443</v>
      </c>
      <c r="C15" s="1"/>
      <c r="D15" s="1"/>
      <c r="E15" s="1">
        <v>1</v>
      </c>
    </row>
    <row r="16" spans="1:5" x14ac:dyDescent="0.25">
      <c r="A16" s="1" t="str">
        <f>'Øko% kommunale køkk. m. smiley'!A16</f>
        <v>Børnehuset Siv</v>
      </c>
      <c r="B16" s="17">
        <f>+VLOOKUP(A16,'Øko% Alle køkkener'!$A$5:$I$114,9,FALSE)</f>
        <v>65.918427922853283</v>
      </c>
      <c r="C16" s="1"/>
      <c r="D16" s="1"/>
      <c r="E16" s="1"/>
    </row>
    <row r="17" spans="1:5" x14ac:dyDescent="0.25">
      <c r="A17" s="1" t="str">
        <f>'Øko% kommunale køkk. m. smiley'!A17</f>
        <v>Børnehuset Skovbakken</v>
      </c>
      <c r="B17" s="17">
        <f>+VLOOKUP(A17,'Øko% Alle køkkener'!$A$5:$I$114,9,FALSE)</f>
        <v>90.987409455277728</v>
      </c>
      <c r="C17" s="1"/>
      <c r="D17" s="1">
        <v>1</v>
      </c>
      <c r="E17" s="1"/>
    </row>
    <row r="18" spans="1:5" x14ac:dyDescent="0.25">
      <c r="A18" s="1" t="str">
        <f>'Øko% kommunale køkk. m. smiley'!A18</f>
        <v>Børnehuset Solbjerg</v>
      </c>
      <c r="B18" s="17">
        <f>+VLOOKUP(A18,'Øko% Alle køkkener'!$A$5:$I$114,9,FALSE)</f>
        <v>99.375111292843627</v>
      </c>
      <c r="C18" s="1"/>
      <c r="D18" s="1"/>
      <c r="E18" s="1">
        <v>1</v>
      </c>
    </row>
    <row r="19" spans="1:5" x14ac:dyDescent="0.25">
      <c r="A19" s="1" t="str">
        <f>'Øko% kommunale køkk. m. smiley'!A19</f>
        <v>Børnehuset Søndersø</v>
      </c>
      <c r="B19" s="17">
        <f>+VLOOKUP(A19,'Øko% Alle køkkener'!$A$5:$I$114,9,FALSE)</f>
        <v>79.366823074630062</v>
      </c>
      <c r="C19" s="1"/>
      <c r="D19" s="1">
        <v>1</v>
      </c>
      <c r="E19" s="1"/>
    </row>
    <row r="20" spans="1:5" x14ac:dyDescent="0.25">
      <c r="A20" s="1" t="str">
        <f>'Øko% kommunale køkk. m. smiley'!A20</f>
        <v>Børnehuset Vingesus</v>
      </c>
      <c r="B20" s="17">
        <f>+VLOOKUP(A20,'Øko% Alle køkkener'!$A$5:$I$114,9,FALSE)</f>
        <v>96.500422541529716</v>
      </c>
      <c r="C20" s="1"/>
      <c r="D20" s="1"/>
      <c r="E20" s="1">
        <v>1</v>
      </c>
    </row>
    <row r="21" spans="1:5" x14ac:dyDescent="0.25">
      <c r="A21" s="1" t="str">
        <f>'Øko% kommunale køkk. m. smiley'!A22</f>
        <v>Dalgårdens Børnehus</v>
      </c>
      <c r="B21" s="17">
        <f>+VLOOKUP(A21,'Øko% Alle køkkener'!$A$5:$I$114,9,FALSE)</f>
        <v>99.938060360179009</v>
      </c>
      <c r="C21" s="1"/>
      <c r="D21" s="1"/>
      <c r="E21" s="1">
        <v>1</v>
      </c>
    </row>
    <row r="22" spans="1:5" hidden="1" x14ac:dyDescent="0.25">
      <c r="A22" s="1" t="str">
        <f>'Øko% kommunale køkk. m. smiley'!A23</f>
        <v>Egeskolen, kantine</v>
      </c>
      <c r="B22" s="17">
        <f>+VLOOKUP(A22,'Øko% Alle køkkener'!$A$5:$I$114,9,FALSE)</f>
        <v>11.661721915924273</v>
      </c>
      <c r="C22" s="133"/>
      <c r="D22" s="1"/>
      <c r="E22" s="1"/>
    </row>
    <row r="23" spans="1:5" x14ac:dyDescent="0.25">
      <c r="A23" s="1" t="str">
        <f>'Øko% Alle køkkener'!A30</f>
        <v>Espebo Børnecenter</v>
      </c>
      <c r="B23" s="17">
        <f>+VLOOKUP(A23,'Øko% Alle køkkener'!$A$5:$I$114,9,FALSE)</f>
        <v>75.183942787883666</v>
      </c>
      <c r="C23" s="133"/>
      <c r="D23" s="1">
        <v>1</v>
      </c>
      <c r="E23" s="1"/>
    </row>
    <row r="24" spans="1:5" x14ac:dyDescent="0.25">
      <c r="A24" s="1" t="str">
        <f>'Øko% kommunale køkk. m. smiley'!A24</f>
        <v>Farum Nordby Børnehus</v>
      </c>
      <c r="B24" s="17">
        <f>+VLOOKUP(A24,'Øko% Alle køkkener'!$A$5:$I$114,9,FALSE)</f>
        <v>88.569603838423134</v>
      </c>
      <c r="C24" s="1"/>
      <c r="D24" s="1"/>
      <c r="E24" s="1"/>
    </row>
    <row r="25" spans="1:5" x14ac:dyDescent="0.25">
      <c r="A25" s="1" t="str">
        <f>'Øko% kommunale køkk. m. smiley'!A25</f>
        <v>Farum Vejgaard, BH/VS</v>
      </c>
      <c r="B25" s="17">
        <f>+VLOOKUP(A25,'Øko% Alle køkkener'!$A$5:$I$114,9,FALSE)</f>
        <v>88.122592832921669</v>
      </c>
      <c r="C25" s="1"/>
      <c r="D25" s="1">
        <v>1</v>
      </c>
      <c r="E25" s="1"/>
    </row>
    <row r="26" spans="1:5" x14ac:dyDescent="0.25">
      <c r="A26" s="1" t="str">
        <f>'Øko% kommunale køkk. m. smiley'!A26</f>
        <v>Farumsødal</v>
      </c>
      <c r="B26" s="17">
        <f>+VLOOKUP(A26,'Øko% Alle køkkener'!$A$5:$I$114,9,FALSE)</f>
        <v>92.167540895451367</v>
      </c>
      <c r="C26" s="1"/>
      <c r="D26" s="1">
        <v>1</v>
      </c>
      <c r="E26" s="1"/>
    </row>
    <row r="27" spans="1:5" hidden="1" x14ac:dyDescent="0.25">
      <c r="A27" s="1" t="str">
        <f>'Øko% kommunale køkk. m. smiley'!A27</f>
        <v>Furesø Skole- og Familiehus (inkl. Rådgivning, vejledn. og støtte)</v>
      </c>
      <c r="B27" s="17">
        <f>+VLOOKUP(A27,'Øko% Alle køkkener'!$A$5:$I$114,9,FALSE)</f>
        <v>86.103341939185313</v>
      </c>
      <c r="C27" s="1"/>
      <c r="D27" s="1"/>
      <c r="E27" s="1"/>
    </row>
    <row r="28" spans="1:5" x14ac:dyDescent="0.25">
      <c r="A28" s="1" t="str">
        <f>'Øko% kommunale køkk. m. smiley'!A28</f>
        <v>Hareskov Børnehus</v>
      </c>
      <c r="B28" s="17">
        <f>+VLOOKUP(A28,'Øko% Alle køkkener'!$A$5:$I$114,9,FALSE)</f>
        <v>98.985693262726528</v>
      </c>
      <c r="C28" s="1"/>
      <c r="D28" s="132"/>
      <c r="E28" s="1">
        <v>1</v>
      </c>
    </row>
    <row r="29" spans="1:5" hidden="1" x14ac:dyDescent="0.25">
      <c r="A29" s="1" t="str">
        <f>'Øko% kommunale køkk. m. smiley'!A29</f>
        <v>Hareskov FFO - Gasværket, klub</v>
      </c>
      <c r="B29" s="17">
        <f>+VLOOKUP(A29,'Øko% Alle køkkener'!$A$5:$I$114,9,FALSE)</f>
        <v>32.033449902313095</v>
      </c>
      <c r="C29" s="135"/>
      <c r="D29" s="135"/>
      <c r="E29" s="1"/>
    </row>
    <row r="30" spans="1:5" x14ac:dyDescent="0.25">
      <c r="A30" s="1" t="str">
        <f>+'Øko% kommunale køkk. m. smiley'!A30</f>
        <v>Krudthuset</v>
      </c>
      <c r="B30" s="17">
        <f>+VLOOKUP(A30,'Øko% Alle køkkener'!$A$5:$I$114,9,FALSE)</f>
        <v>97.746583010401949</v>
      </c>
      <c r="C30" s="135"/>
      <c r="D30" s="135"/>
      <c r="E30" s="1">
        <v>1</v>
      </c>
    </row>
    <row r="31" spans="1:5" hidden="1" x14ac:dyDescent="0.25">
      <c r="A31" s="1" t="str">
        <f>+'Øko% kommunale køkk. m. smiley'!A31</f>
        <v>Lille Værløse Skole, kantinen</v>
      </c>
      <c r="B31" s="17">
        <f>+VLOOKUP(A31,'Øko% Alle køkkener'!$A$5:$I$114,9,FALSE)</f>
        <v>24.3794335789391</v>
      </c>
      <c r="C31" s="135"/>
      <c r="D31" s="135"/>
      <c r="E31" s="1"/>
    </row>
    <row r="32" spans="1:5" x14ac:dyDescent="0.25">
      <c r="A32" s="1" t="str">
        <f>+'Øko% kommunale køkk. m. smiley'!A32</f>
        <v>Lillestjernen FFO</v>
      </c>
      <c r="B32" s="17">
        <f>+VLOOKUP(A32,'Øko% Alle køkkener'!$A$5:$I$114,9,FALSE)</f>
        <v>78.425097598688581</v>
      </c>
      <c r="C32" s="135"/>
      <c r="D32" s="131">
        <v>1</v>
      </c>
      <c r="E32" s="1"/>
    </row>
    <row r="33" spans="1:5" x14ac:dyDescent="0.25">
      <c r="A33" s="1" t="str">
        <f>+'Øko% kommunale køkk. m. smiley'!A33</f>
        <v>Lillevang - Blommehaven</v>
      </c>
      <c r="B33" s="17">
        <f>+VLOOKUP(A33,'Øko% Alle køkkener'!$A$5:$I$114,9,FALSE)</f>
        <v>59.955198753903886</v>
      </c>
      <c r="C33" s="1">
        <v>3</v>
      </c>
      <c r="D33" s="225"/>
      <c r="E33" s="1"/>
    </row>
    <row r="34" spans="1:5" x14ac:dyDescent="0.25">
      <c r="A34" s="1" t="str">
        <f>+'Øko% kommunale køkk. m. smiley'!A34</f>
        <v xml:space="preserve">Lillevang - Kornelhaven </v>
      </c>
      <c r="B34" s="17">
        <f>+VLOOKUP(A34,'Øko% Alle køkkener'!$A$5:$I$114,9,FALSE)</f>
        <v>46.666207844230556</v>
      </c>
      <c r="C34" s="1">
        <v>3</v>
      </c>
      <c r="D34" s="1"/>
      <c r="E34" s="1"/>
    </row>
    <row r="35" spans="1:5" x14ac:dyDescent="0.25">
      <c r="A35" s="1" t="str">
        <f>+'Øko% kommunale køkk. m. smiley'!A35</f>
        <v>Lillevang - Køkken</v>
      </c>
      <c r="B35" s="17">
        <f>+VLOOKUP(A35,'Øko% Alle køkkener'!$A$5:$I$114,9,FALSE)</f>
        <v>53.871556575651461</v>
      </c>
      <c r="C35" s="1">
        <v>1</v>
      </c>
      <c r="D35" s="1"/>
      <c r="E35" s="1"/>
    </row>
    <row r="36" spans="1:5" x14ac:dyDescent="0.25">
      <c r="A36" s="1" t="str">
        <f>+'Øko% kommunale køkk. m. smiley'!A36</f>
        <v>Lillevang - Magnoliehaven</v>
      </c>
      <c r="B36" s="17">
        <f>+VLOOKUP(A36,'Øko% Alle køkkener'!$A$5:$I$114,9,FALSE)</f>
        <v>42.900539852342831</v>
      </c>
      <c r="C36" s="1">
        <v>1</v>
      </c>
      <c r="D36" s="1"/>
      <c r="E36" s="1"/>
    </row>
    <row r="37" spans="1:5" x14ac:dyDescent="0.25">
      <c r="A37" s="1" t="str">
        <f>+'Øko% kommunale køkk. m. smiley'!A37</f>
        <v>Lillevang - Syrenhaven</v>
      </c>
      <c r="B37" s="17">
        <f>+VLOOKUP(A37,'Øko% Alle køkkener'!$A$5:$I$114,9,FALSE)</f>
        <v>21.712211616805789</v>
      </c>
      <c r="C37" s="1"/>
      <c r="D37" s="1"/>
      <c r="E37" s="1"/>
    </row>
    <row r="38" spans="1:5" x14ac:dyDescent="0.25">
      <c r="A38" s="1" t="str">
        <f>+'Øko% kommunale køkk. m. smiley'!A38</f>
        <v>Lillevang - Rosenhaven</v>
      </c>
      <c r="B38" s="17">
        <f>+VLOOKUP(A38,'Øko% Alle køkkener'!$A$5:$I$114,9,FALSE)</f>
        <v>44.309731697899828</v>
      </c>
      <c r="C38" s="1"/>
      <c r="D38" s="1"/>
      <c r="E38" s="1"/>
    </row>
    <row r="39" spans="1:5" x14ac:dyDescent="0.25">
      <c r="A39" s="1" t="str">
        <f>+'Øko% kommunale køkk. m. smiley'!A39</f>
        <v>Lyngholmskolen, kantinen</v>
      </c>
      <c r="B39" s="17">
        <f>+VLOOKUP(A39,'Øko% Alle køkkener'!$A$5:$I$114,9,FALSE)</f>
        <v>71.516172009148136</v>
      </c>
      <c r="C39" s="1"/>
      <c r="D39" s="1"/>
      <c r="E39" s="1"/>
    </row>
    <row r="40" spans="1:5" x14ac:dyDescent="0.25">
      <c r="A40" s="1" t="str">
        <f>+'Øko% kommunale køkk. m. smiley'!A40</f>
        <v>Lynghuset</v>
      </c>
      <c r="B40" s="17">
        <f>+VLOOKUP(A40,'Øko% Alle køkkener'!$A$5:$I$114,9,FALSE)</f>
        <v>81.349474479848141</v>
      </c>
      <c r="C40" s="1"/>
      <c r="D40" s="1">
        <v>1</v>
      </c>
      <c r="E40" s="1"/>
    </row>
    <row r="41" spans="1:5" x14ac:dyDescent="0.25">
      <c r="A41" s="1" t="str">
        <f>+'Øko% kommunale køkk. m. smiley'!A41</f>
        <v>Nordvænget Vuggestue</v>
      </c>
      <c r="B41" s="17">
        <f>+VLOOKUP(A41,'Øko% Alle køkkener'!$A$5:$I$114,9,FALSE)</f>
        <v>99.951085474367844</v>
      </c>
      <c r="C41" s="1"/>
      <c r="D41" s="1"/>
      <c r="E41" s="131">
        <v>1</v>
      </c>
    </row>
    <row r="42" spans="1:5" x14ac:dyDescent="0.25">
      <c r="A42" s="1" t="str">
        <f>+'Øko% kommunale køkk. m. smiley'!A42</f>
        <v>Paletten (Valhalla)</v>
      </c>
      <c r="B42" s="17">
        <f>+VLOOKUP(A42,'Øko% Alle køkkener'!$A$5:$I$114,9,FALSE)</f>
        <v>91.5690917750116</v>
      </c>
      <c r="C42" s="1"/>
      <c r="D42" s="1">
        <v>1</v>
      </c>
      <c r="E42" s="1"/>
    </row>
    <row r="43" spans="1:5" x14ac:dyDescent="0.25">
      <c r="A43" s="1" t="str">
        <f>+'Øko% kommunale køkk. m. smiley'!A43</f>
        <v>Plejecenteret Solbjerghaven</v>
      </c>
      <c r="B43" s="17">
        <f>+VLOOKUP(A43,'Øko% Alle køkkener'!$A$5:$I$114,9,FALSE)</f>
        <v>39.088335189463827</v>
      </c>
      <c r="C43" s="1">
        <v>1</v>
      </c>
      <c r="D43" s="1"/>
      <c r="E43" s="1"/>
    </row>
    <row r="44" spans="1:5" x14ac:dyDescent="0.25">
      <c r="A44" s="1" t="str">
        <f>+'Øko% kommunale køkk. m. smiley'!A44</f>
        <v>Ryet Børnehus</v>
      </c>
      <c r="B44" s="17">
        <f>+VLOOKUP(A44,'Øko% Alle køkkener'!$A$5:$I$114,9,FALSE)</f>
        <v>95.782349078514699</v>
      </c>
      <c r="C44" s="1"/>
      <c r="D44" s="1"/>
      <c r="E44" s="1">
        <v>1</v>
      </c>
    </row>
    <row r="45" spans="1:5" x14ac:dyDescent="0.25">
      <c r="A45" s="1" t="str">
        <f>+'Øko% kommunale køkk. m. smiley'!A45</f>
        <v>Rådhuset Furesø Kommune + frugtordning</v>
      </c>
      <c r="B45" s="17">
        <f>+VLOOKUP(A45,'Øko% Alle køkkener'!$A$5:$I$114,9,FALSE)</f>
        <v>77.178859048987349</v>
      </c>
      <c r="C45" s="1"/>
      <c r="D45" s="1">
        <v>1</v>
      </c>
      <c r="E45" s="1"/>
    </row>
    <row r="46" spans="1:5" x14ac:dyDescent="0.25">
      <c r="A46" s="1" t="str">
        <f>+'Øko% kommunale køkk. m. smiley'!A46</f>
        <v>Skovgården</v>
      </c>
      <c r="B46" s="17">
        <f>+VLOOKUP(A46,'Øko% Alle køkkener'!$A$5:$I$114,9,FALSE)</f>
        <v>56.555227355596664</v>
      </c>
      <c r="C46" s="1">
        <v>1</v>
      </c>
      <c r="D46" s="1"/>
      <c r="E46" s="1"/>
    </row>
    <row r="47" spans="1:5" x14ac:dyDescent="0.25">
      <c r="A47" s="1" t="str">
        <f>+'Øko% kommunale køkk. m. smiley'!A47</f>
        <v>Solstrålen</v>
      </c>
      <c r="B47" s="17">
        <f>+VLOOKUP(A47,'Øko% Alle køkkener'!$A$5:$I$114,9,FALSE)</f>
        <v>93.196987518435733</v>
      </c>
      <c r="C47" s="1"/>
      <c r="D47" s="1">
        <v>1</v>
      </c>
      <c r="E47" s="1"/>
    </row>
    <row r="48" spans="1:5" x14ac:dyDescent="0.25">
      <c r="A48" s="1" t="str">
        <f>+'Øko% kommunale køkk. m. smiley'!A48</f>
        <v>Stavnsholt Børnehus, integr.</v>
      </c>
      <c r="B48" s="17">
        <f>+VLOOKUP(A48,'Øko% Alle køkkener'!$A$5:$I$114,9,FALSE)</f>
        <v>92.163513329195069</v>
      </c>
      <c r="C48" s="1"/>
      <c r="D48" s="1">
        <v>1</v>
      </c>
      <c r="E48" s="1"/>
    </row>
    <row r="49" spans="1:5" hidden="1" x14ac:dyDescent="0.25">
      <c r="A49" s="1" t="str">
        <f>+'Øko% kommunale køkk. m. smiley'!A49</f>
        <v>Stavnsholtskolen, kantinen. Har skolehaver</v>
      </c>
      <c r="B49" s="17">
        <f>+VLOOKUP(A49,'Øko% Alle køkkener'!$A$5:$I$114,9,FALSE)</f>
        <v>87.233490057281443</v>
      </c>
      <c r="C49" s="1"/>
      <c r="D49" s="1"/>
      <c r="E49" s="1"/>
    </row>
    <row r="50" spans="1:5" x14ac:dyDescent="0.25">
      <c r="A50" s="1" t="str">
        <f>+'Øko% kommunale køkk. m. smiley'!A50</f>
        <v>Svanepunktet Plejecenter, Svane</v>
      </c>
      <c r="B50" s="17">
        <f>+VLOOKUP(A50,'Øko% Alle køkkener'!$A$5:$I$114,9,FALSE)</f>
        <v>61.820624713199614</v>
      </c>
      <c r="C50" s="1">
        <v>2</v>
      </c>
      <c r="D50" s="1"/>
      <c r="E50" s="1"/>
    </row>
    <row r="51" spans="1:5" x14ac:dyDescent="0.25">
      <c r="A51" s="1" t="str">
        <f>+'Øko% kommunale køkk. m. smiley'!A51</f>
        <v>Svanepunktet, Rehab</v>
      </c>
      <c r="B51" s="17">
        <f>+VLOOKUP(A51,'Øko% Alle køkkener'!$A$5:$I$114,9,FALSE)</f>
        <v>61.295170002926305</v>
      </c>
      <c r="C51" s="1">
        <v>2</v>
      </c>
      <c r="D51" s="1"/>
      <c r="E51" s="1"/>
    </row>
    <row r="52" spans="1:5" x14ac:dyDescent="0.25">
      <c r="A52" s="1" t="str">
        <f>'Øko% kommunale køkk. m. smiley'!A52</f>
        <v>Syvstjerneklubben &amp; kantine</v>
      </c>
      <c r="B52" s="17">
        <f>+VLOOKUP(A52,'Øko% Alle køkkener'!$A$5:$I$114,9,FALSE)</f>
        <v>65.73285065486742</v>
      </c>
      <c r="C52" s="1"/>
      <c r="D52" s="1"/>
      <c r="E52" s="1"/>
    </row>
    <row r="53" spans="1:5" hidden="1" x14ac:dyDescent="0.25">
      <c r="A53" s="1" t="str">
        <f>'Øko% kommunale køkk. m. smiley'!A53</f>
        <v>Søndersø FFO 2, Solbjerggaard</v>
      </c>
      <c r="B53" s="17">
        <f>+VLOOKUP(A53,'Øko% Alle køkkener'!$A$5:$I$114,9,FALSE)</f>
        <v>5.113134134650049</v>
      </c>
      <c r="C53" s="1"/>
      <c r="D53" s="1"/>
      <c r="E53" s="1"/>
    </row>
    <row r="54" spans="1:5" x14ac:dyDescent="0.25">
      <c r="A54" s="1" t="str">
        <f>'Øko% kommunale køkk. m. smiley'!A54</f>
        <v>Værløse Svømmehal</v>
      </c>
      <c r="B54" s="17">
        <f>+VLOOKUP(A54,'Øko% Alle køkkener'!$A$5:$I$114,9,FALSE)</f>
        <v>49.076669251456018</v>
      </c>
      <c r="C54" s="1">
        <v>1</v>
      </c>
      <c r="D54" s="1"/>
      <c r="E54" s="1"/>
    </row>
    <row r="55" spans="1:5" x14ac:dyDescent="0.25">
      <c r="A55" s="1" t="str">
        <f>'Øko% kommunale køkk. m. smiley'!A55</f>
        <v>Åkanden</v>
      </c>
      <c r="B55" s="17">
        <f>+VLOOKUP(A55,'Øko% Alle køkkener'!$A$5:$I$114,9,FALSE)</f>
        <v>96.209282171086898</v>
      </c>
      <c r="C55" s="1"/>
      <c r="D55" s="1"/>
      <c r="E55" s="1">
        <v>1</v>
      </c>
    </row>
    <row r="56" spans="1:5" hidden="1" x14ac:dyDescent="0.25">
      <c r="A56" s="1" t="str">
        <f>'Øko% kommunale køkk. m. smiley'!A56</f>
        <v>I alt %</v>
      </c>
      <c r="B56" s="17" t="e">
        <f>+VLOOKUP(A56,'Øko% Alle køkkener'!$A$5:$I$114,9,FALSE)</f>
        <v>#N/A</v>
      </c>
      <c r="C56" s="134"/>
      <c r="D56" s="134"/>
      <c r="E56" s="134"/>
    </row>
    <row r="57" spans="1:5" x14ac:dyDescent="0.25">
      <c r="A57" s="14" t="s">
        <v>61</v>
      </c>
      <c r="B57" s="24">
        <f>C57+D57+E57</f>
        <v>44</v>
      </c>
      <c r="C57" s="10">
        <f>SUM(C4:C56)</f>
        <v>15</v>
      </c>
      <c r="D57" s="10">
        <f>SUM(D4:D56)</f>
        <v>16</v>
      </c>
      <c r="E57" s="10">
        <f>SUM(E4:E56)</f>
        <v>13</v>
      </c>
    </row>
  </sheetData>
  <phoneticPr fontId="32" type="noConversion"/>
  <conditionalFormatting sqref="C4:C56">
    <cfRule type="expression" dxfId="3" priority="2">
      <formula>_xlfn.IFS($C4&gt;1,$B4&lt;30)</formula>
    </cfRule>
  </conditionalFormatting>
  <conditionalFormatting sqref="D4:D56">
    <cfRule type="expression" dxfId="2" priority="4">
      <formula>_xlfn.IFS($D4&gt;1,$B4&lt;60)</formula>
    </cfRule>
  </conditionalFormatting>
  <conditionalFormatting sqref="E4:E56">
    <cfRule type="expression" dxfId="1" priority="1">
      <formula>_xlfn.IFS($E4&gt;1,$B4&lt;90)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F36C6-1154-49C3-9441-A6713B4BA070}">
  <dimension ref="A1:P86"/>
  <sheetViews>
    <sheetView zoomScale="78" zoomScaleNormal="78" workbookViewId="0">
      <pane ySplit="4" topLeftCell="A5" activePane="bottomLeft" state="frozen"/>
      <selection activeCell="G24" sqref="G24"/>
      <selection pane="bottomLeft" activeCell="J31" sqref="J31"/>
    </sheetView>
  </sheetViews>
  <sheetFormatPr defaultColWidth="9.140625" defaultRowHeight="15" x14ac:dyDescent="0.25"/>
  <cols>
    <col min="1" max="1" width="47.42578125" style="49" customWidth="1"/>
    <col min="2" max="2" width="24.42578125" style="49" hidden="1" customWidth="1"/>
    <col min="3" max="3" width="12.7109375" style="48" customWidth="1"/>
    <col min="4" max="5" width="14.140625" style="47" customWidth="1"/>
    <col min="6" max="6" width="12.140625" style="46" customWidth="1"/>
    <col min="7" max="7" width="12.85546875" style="46" customWidth="1"/>
    <col min="8" max="8" width="14.85546875" style="45" customWidth="1"/>
    <col min="9" max="9" width="16.140625" style="45" customWidth="1"/>
    <col min="10" max="11" width="11.7109375" style="44" customWidth="1"/>
    <col min="12" max="13" width="11.7109375" style="43" customWidth="1"/>
    <col min="14" max="15" width="11.7109375" style="42" customWidth="1"/>
    <col min="16" max="16384" width="9.140625" style="41"/>
  </cols>
  <sheetData>
    <row r="1" spans="1:15" ht="21" x14ac:dyDescent="0.25">
      <c r="A1" s="80" t="str">
        <f>'Øko% Alle køkkener'!A1</f>
        <v>4. kvartal 24</v>
      </c>
      <c r="B1" s="89"/>
      <c r="C1" s="79" t="s">
        <v>62</v>
      </c>
      <c r="D1" s="78"/>
      <c r="E1" s="78"/>
      <c r="J1" s="77"/>
    </row>
    <row r="2" spans="1:15" ht="18" customHeight="1" thickBot="1" x14ac:dyDescent="0.3">
      <c r="A2" s="83" t="s">
        <v>33</v>
      </c>
      <c r="B2" s="90"/>
      <c r="C2" s="76"/>
      <c r="D2" s="12"/>
      <c r="E2" s="12"/>
      <c r="N2" s="75"/>
      <c r="O2" s="75"/>
    </row>
    <row r="3" spans="1:15" s="73" customFormat="1" ht="48.95" customHeight="1" thickTop="1" thickBot="1" x14ac:dyDescent="0.3">
      <c r="A3" s="74" t="s">
        <v>0</v>
      </c>
      <c r="B3" s="94"/>
      <c r="C3" s="92" t="s">
        <v>14</v>
      </c>
      <c r="D3" s="230" t="s">
        <v>2</v>
      </c>
      <c r="E3" s="231"/>
      <c r="F3" s="230" t="s">
        <v>177</v>
      </c>
      <c r="G3" s="231"/>
      <c r="H3" s="232" t="s">
        <v>1</v>
      </c>
      <c r="I3" s="233"/>
      <c r="J3" s="234" t="s">
        <v>83</v>
      </c>
      <c r="K3" s="235"/>
      <c r="L3" s="226" t="s">
        <v>49</v>
      </c>
      <c r="M3" s="227"/>
      <c r="N3" s="228" t="s">
        <v>84</v>
      </c>
      <c r="O3" s="229"/>
    </row>
    <row r="4" spans="1:15" ht="16.5" thickTop="1" thickBot="1" x14ac:dyDescent="0.3">
      <c r="A4" s="72" t="s">
        <v>0</v>
      </c>
      <c r="B4" s="93" t="s">
        <v>118</v>
      </c>
      <c r="C4" s="71" t="s">
        <v>14</v>
      </c>
      <c r="D4" s="64" t="s">
        <v>31</v>
      </c>
      <c r="E4" s="63" t="s">
        <v>32</v>
      </c>
      <c r="F4" s="70" t="s">
        <v>31</v>
      </c>
      <c r="G4" s="69" t="s">
        <v>32</v>
      </c>
      <c r="H4" s="68" t="s">
        <v>31</v>
      </c>
      <c r="I4" s="67" t="s">
        <v>32</v>
      </c>
      <c r="J4" s="66" t="s">
        <v>31</v>
      </c>
      <c r="K4" s="65" t="s">
        <v>32</v>
      </c>
      <c r="L4" s="64" t="s">
        <v>31</v>
      </c>
      <c r="M4" s="63" t="s">
        <v>32</v>
      </c>
      <c r="N4" s="64" t="s">
        <v>31</v>
      </c>
      <c r="O4" s="63" t="s">
        <v>32</v>
      </c>
    </row>
    <row r="5" spans="1:15" s="42" customFormat="1" ht="15.75" thickTop="1" x14ac:dyDescent="0.25">
      <c r="A5" s="58" t="str">
        <f>'Øko% Alle køkkener'!A5</f>
        <v>Anais Kulturcafé, Farum Kulturhus</v>
      </c>
      <c r="B5" s="60">
        <f>+VLOOKUP(A5,'Øko% Alle køkkener'!$A$5:$H$114,3,FALSE)</f>
        <v>0</v>
      </c>
      <c r="C5" s="59">
        <f>'Øko% Alle køkkener'!I5</f>
        <v>62.562087626955289</v>
      </c>
      <c r="D5" s="58">
        <f>'Øko% Alle køkkener'!J5</f>
        <v>843.9</v>
      </c>
      <c r="E5" s="58">
        <f>'Øko% Alle køkkener'!K5</f>
        <v>1348.9</v>
      </c>
      <c r="F5" s="58">
        <f>'Øko% Alle køkkener'!L5</f>
        <v>0</v>
      </c>
      <c r="G5" s="58">
        <f>'Øko% Alle køkkener'!M5</f>
        <v>0</v>
      </c>
      <c r="H5" s="58">
        <f>'Øko% Alle køkkener'!N5</f>
        <v>834.9</v>
      </c>
      <c r="I5" s="58">
        <f>'Øko% Alle køkkener'!O5</f>
        <v>1339.9</v>
      </c>
      <c r="J5" s="58">
        <f>'Øko% Alle køkkener'!P5</f>
        <v>0</v>
      </c>
      <c r="K5" s="58">
        <f>'Øko% Alle køkkener'!Q5</f>
        <v>0</v>
      </c>
      <c r="L5" s="58">
        <f>'Øko% Alle køkkener'!R5</f>
        <v>9</v>
      </c>
      <c r="M5" s="58">
        <f>'Øko% Alle køkkener'!S5</f>
        <v>9</v>
      </c>
      <c r="N5" s="58">
        <f>'Øko% Alle køkkener'!T5</f>
        <v>0</v>
      </c>
      <c r="O5" s="58">
        <f>'Øko% Alle køkkener'!U5</f>
        <v>0</v>
      </c>
    </row>
    <row r="6" spans="1:15" x14ac:dyDescent="0.25">
      <c r="A6" s="60" t="str">
        <f>'Øko% Alle køkkener'!A7</f>
        <v>Børnehuset Atlantis (Tidl. Børnehusene, Ryttergårdsvej)</v>
      </c>
      <c r="B6" s="60">
        <f>+VLOOKUP(A6,'Øko% Alle køkkener'!$A$5:$H$114,3,FALSE)</f>
        <v>0</v>
      </c>
      <c r="C6" s="61">
        <f>'Øko% Alle køkkener'!I7</f>
        <v>88.888562838458952</v>
      </c>
      <c r="D6" s="60">
        <f>'Øko% Alle køkkener'!J7</f>
        <v>1393.402</v>
      </c>
      <c r="E6" s="60">
        <f>'Øko% Alle køkkener'!K7</f>
        <v>1567.5830000000001</v>
      </c>
      <c r="F6" s="60">
        <f>'Øko% Alle køkkener'!L7</f>
        <v>0</v>
      </c>
      <c r="G6" s="60">
        <f>'Øko% Alle køkkener'!M7</f>
        <v>0</v>
      </c>
      <c r="H6" s="58">
        <f>'Øko% Alle køkkener'!N7</f>
        <v>1357.402</v>
      </c>
      <c r="I6" s="58">
        <f>'Øko% Alle køkkener'!O7</f>
        <v>1531.5830000000001</v>
      </c>
      <c r="J6" s="58">
        <f>'Øko% Alle køkkener'!P7</f>
        <v>0</v>
      </c>
      <c r="K6" s="58">
        <f>'Øko% Alle køkkener'!Q7</f>
        <v>0</v>
      </c>
      <c r="L6" s="58">
        <f>'Øko% Alle køkkener'!R7</f>
        <v>36</v>
      </c>
      <c r="M6" s="58">
        <f>'Øko% Alle køkkener'!S7</f>
        <v>36</v>
      </c>
      <c r="N6" s="58">
        <f>'Øko% Alle køkkener'!T7</f>
        <v>0</v>
      </c>
      <c r="O6" s="58">
        <f>'Øko% Alle køkkener'!U7</f>
        <v>0</v>
      </c>
    </row>
    <row r="7" spans="1:15" x14ac:dyDescent="0.25">
      <c r="A7" s="60" t="str">
        <f>'Øko% Alle køkkener'!A8</f>
        <v>Børnehuset Birkedal</v>
      </c>
      <c r="B7" s="60">
        <f>+VLOOKUP(A7,'Øko% Alle køkkener'!$A$5:$H$114,3,FALSE)</f>
        <v>1017028</v>
      </c>
      <c r="C7" s="61">
        <f>'Øko% Alle køkkener'!I8</f>
        <v>79.32388672828435</v>
      </c>
      <c r="D7" s="60">
        <f>'Øko% Alle køkkener'!J8</f>
        <v>833.60599999999999</v>
      </c>
      <c r="E7" s="60">
        <f>'Øko% Alle køkkener'!K8</f>
        <v>1050.8889999999999</v>
      </c>
      <c r="F7" s="60">
        <f>'Øko% Alle køkkener'!L8</f>
        <v>0</v>
      </c>
      <c r="G7" s="60">
        <f>'Øko% Alle køkkener'!M8</f>
        <v>0</v>
      </c>
      <c r="H7" s="58">
        <f>'Øko% Alle køkkener'!N8</f>
        <v>818.00599999999997</v>
      </c>
      <c r="I7" s="58">
        <f>'Øko% Alle køkkener'!O8</f>
        <v>1035.289</v>
      </c>
      <c r="J7" s="58">
        <f>'Øko% Alle køkkener'!P8</f>
        <v>0</v>
      </c>
      <c r="K7" s="58">
        <f>'Øko% Alle køkkener'!Q8</f>
        <v>0</v>
      </c>
      <c r="L7" s="58">
        <f>'Øko% Alle køkkener'!R8</f>
        <v>15.6</v>
      </c>
      <c r="M7" s="58">
        <f>'Øko% Alle køkkener'!S8</f>
        <v>15.6</v>
      </c>
      <c r="N7" s="58">
        <f>'Øko% Alle køkkener'!T8</f>
        <v>0</v>
      </c>
      <c r="O7" s="58">
        <f>'Øko% Alle køkkener'!U8</f>
        <v>0</v>
      </c>
    </row>
    <row r="8" spans="1:15" x14ac:dyDescent="0.25">
      <c r="A8" s="60" t="str">
        <f>'Øko% Alle køkkener'!A9</f>
        <v>Børnehuset Birkhøj</v>
      </c>
      <c r="B8" s="60">
        <f>+VLOOKUP(A8,'Øko% Alle køkkener'!$A$5:$H$114,3,FALSE)</f>
        <v>0</v>
      </c>
      <c r="C8" s="61">
        <f>'Øko% Alle køkkener'!I9</f>
        <v>80.009127706801962</v>
      </c>
      <c r="D8" s="60">
        <f>'Øko% Alle køkkener'!J9</f>
        <v>1272.7539999999999</v>
      </c>
      <c r="E8" s="60">
        <f>'Øko% Alle køkkener'!K9</f>
        <v>1590.761</v>
      </c>
      <c r="F8" s="60">
        <f>'Øko% Alle køkkener'!L9</f>
        <v>0</v>
      </c>
      <c r="G8" s="60">
        <f>'Øko% Alle køkkener'!M9</f>
        <v>0</v>
      </c>
      <c r="H8" s="58">
        <f>'Øko% Alle køkkener'!N9</f>
        <v>1272.7539999999999</v>
      </c>
      <c r="I8" s="58">
        <f>'Øko% Alle køkkener'!O9</f>
        <v>1590.761</v>
      </c>
      <c r="J8" s="58">
        <f>'Øko% Alle køkkener'!P9</f>
        <v>0</v>
      </c>
      <c r="K8" s="58">
        <f>'Øko% Alle køkkener'!Q9</f>
        <v>0</v>
      </c>
      <c r="L8" s="58">
        <f>'Øko% Alle køkkener'!R9</f>
        <v>0</v>
      </c>
      <c r="M8" s="58">
        <f>'Øko% Alle køkkener'!S9</f>
        <v>0</v>
      </c>
      <c r="N8" s="58">
        <f>'Øko% Alle køkkener'!T9</f>
        <v>0</v>
      </c>
      <c r="O8" s="58">
        <f>'Øko% Alle køkkener'!U9</f>
        <v>0</v>
      </c>
    </row>
    <row r="9" spans="1:15" x14ac:dyDescent="0.25">
      <c r="A9" s="60" t="str">
        <f>'Øko% Alle køkkener'!A11</f>
        <v>Børnehuset Bøgely</v>
      </c>
      <c r="B9" s="60">
        <f>+VLOOKUP(A9,'Øko% Alle køkkener'!$A$5:$H$114,3,FALSE)</f>
        <v>0</v>
      </c>
      <c r="C9" s="61">
        <f>'Øko% Alle køkkener'!I11</f>
        <v>99.743039914154593</v>
      </c>
      <c r="D9" s="60">
        <f>'Øko% Alle køkkener'!J11</f>
        <v>2769.9490000000001</v>
      </c>
      <c r="E9" s="60">
        <f>'Øko% Alle køkkener'!K11</f>
        <v>2777.085</v>
      </c>
      <c r="F9" s="60">
        <f>'Øko% Alle køkkener'!L11</f>
        <v>0</v>
      </c>
      <c r="G9" s="60">
        <f>'Øko% Alle køkkener'!M11</f>
        <v>0</v>
      </c>
      <c r="H9" s="58">
        <f>'Øko% Alle køkkener'!N11</f>
        <v>2761.9490000000001</v>
      </c>
      <c r="I9" s="58">
        <f>'Øko% Alle køkkener'!O11</f>
        <v>2769.085</v>
      </c>
      <c r="J9" s="58">
        <f>'Øko% Alle køkkener'!P11</f>
        <v>0</v>
      </c>
      <c r="K9" s="58">
        <f>'Øko% Alle køkkener'!Q11</f>
        <v>0</v>
      </c>
      <c r="L9" s="58">
        <f>'Øko% Alle køkkener'!R11</f>
        <v>8</v>
      </c>
      <c r="M9" s="58">
        <f>'Øko% Alle køkkener'!S11</f>
        <v>8</v>
      </c>
      <c r="N9" s="58">
        <f>'Øko% Alle køkkener'!T11</f>
        <v>0</v>
      </c>
      <c r="O9" s="58">
        <f>'Øko% Alle køkkener'!U11</f>
        <v>0</v>
      </c>
    </row>
    <row r="10" spans="1:15" x14ac:dyDescent="0.25">
      <c r="A10" s="60" t="str">
        <f>'Øko% Alle køkkener'!A12</f>
        <v>Børnehuset Egetræet</v>
      </c>
      <c r="B10" s="60">
        <f>+VLOOKUP(A10,'Øko% Alle køkkener'!$A$5:$H$114,3,FALSE)</f>
        <v>0</v>
      </c>
      <c r="C10" s="61">
        <f>'Øko% Alle køkkener'!I12</f>
        <v>88.661229066759347</v>
      </c>
      <c r="D10" s="60">
        <f>'Øko% Alle køkkener'!J12</f>
        <v>2753.0810000000001</v>
      </c>
      <c r="E10" s="60">
        <f>'Øko% Alle køkkener'!K12</f>
        <v>3105.1689999999999</v>
      </c>
      <c r="F10" s="60">
        <f>'Øko% Alle køkkener'!L12</f>
        <v>0</v>
      </c>
      <c r="G10" s="60">
        <f>'Øko% Alle køkkener'!M12</f>
        <v>0</v>
      </c>
      <c r="H10" s="58">
        <f>'Øko% Alle køkkener'!N12</f>
        <v>2744.681</v>
      </c>
      <c r="I10" s="58">
        <f>'Øko% Alle køkkener'!O12</f>
        <v>3095.4490000000001</v>
      </c>
      <c r="J10" s="58">
        <f>'Øko% Alle køkkener'!P12</f>
        <v>0</v>
      </c>
      <c r="K10" s="58">
        <f>'Øko% Alle køkkener'!Q12</f>
        <v>0</v>
      </c>
      <c r="L10" s="58">
        <f>'Øko% Alle køkkener'!R12</f>
        <v>8.4</v>
      </c>
      <c r="M10" s="58">
        <f>'Øko% Alle køkkener'!S12</f>
        <v>9.7200000000000006</v>
      </c>
      <c r="N10" s="58">
        <f>'Øko% Alle køkkener'!T12</f>
        <v>0</v>
      </c>
      <c r="O10" s="58">
        <f>'Øko% Alle køkkener'!U12</f>
        <v>0</v>
      </c>
    </row>
    <row r="11" spans="1:15" x14ac:dyDescent="0.25">
      <c r="A11" s="60" t="str">
        <f>'Øko% Alle køkkener'!A13</f>
        <v>Børnehuset Kirke Værløse</v>
      </c>
      <c r="B11" s="60">
        <f>+VLOOKUP(A11,'Øko% Alle køkkener'!$A$5:$H$114,3,FALSE)</f>
        <v>0</v>
      </c>
      <c r="C11" s="61">
        <f>'Øko% Alle køkkener'!I13</f>
        <v>99.895226739812372</v>
      </c>
      <c r="D11" s="60">
        <f>'Øko% Alle køkkener'!J13</f>
        <v>1906.884</v>
      </c>
      <c r="E11" s="60">
        <f>'Øko% Alle køkkener'!K13</f>
        <v>1908.884</v>
      </c>
      <c r="F11" s="60">
        <f>'Øko% Alle køkkener'!L13</f>
        <v>0</v>
      </c>
      <c r="G11" s="60">
        <f>'Øko% Alle køkkener'!M13</f>
        <v>0</v>
      </c>
      <c r="H11" s="58">
        <f>'Øko% Alle køkkener'!N13</f>
        <v>1899.6659999999999</v>
      </c>
      <c r="I11" s="58">
        <f>'Øko% Alle køkkener'!O13</f>
        <v>1901.6659999999999</v>
      </c>
      <c r="J11" s="58">
        <f>'Øko% Alle køkkener'!P13</f>
        <v>0</v>
      </c>
      <c r="K11" s="58">
        <f>'Øko% Alle køkkener'!Q13</f>
        <v>0</v>
      </c>
      <c r="L11" s="58">
        <f>'Øko% Alle køkkener'!R13</f>
        <v>7.218</v>
      </c>
      <c r="M11" s="58">
        <f>'Øko% Alle køkkener'!S13</f>
        <v>7.218</v>
      </c>
      <c r="N11" s="58">
        <f>'Øko% Alle køkkener'!T13</f>
        <v>0</v>
      </c>
      <c r="O11" s="58">
        <f>'Øko% Alle køkkener'!U13</f>
        <v>0</v>
      </c>
    </row>
    <row r="12" spans="1:15" x14ac:dyDescent="0.25">
      <c r="A12" s="60" t="str">
        <f>'Øko% Alle køkkener'!A14</f>
        <v>Børnehuset Lyngholm nr. 15 (vuggest.)</v>
      </c>
      <c r="B12" s="60">
        <f>+VLOOKUP(A12,'Øko% Alle køkkener'!$A$5:$H$114,3,FALSE)</f>
        <v>0</v>
      </c>
      <c r="C12" s="61">
        <f>'Øko% Alle køkkener'!I14</f>
        <v>98.525127966838156</v>
      </c>
      <c r="D12" s="60">
        <f>'Øko% Alle køkkener'!J14</f>
        <v>670.029</v>
      </c>
      <c r="E12" s="60">
        <f>'Øko% Alle køkkener'!K14</f>
        <v>680.05900000000008</v>
      </c>
      <c r="F12" s="60">
        <f>'Øko% Alle køkkener'!L14</f>
        <v>0</v>
      </c>
      <c r="G12" s="60">
        <f>'Øko% Alle køkkener'!M14</f>
        <v>0</v>
      </c>
      <c r="H12" s="58">
        <f>'Øko% Alle køkkener'!N14</f>
        <v>662.029</v>
      </c>
      <c r="I12" s="58">
        <f>'Øko% Alle køkkener'!O14</f>
        <v>671.60900000000004</v>
      </c>
      <c r="J12" s="58">
        <f>'Øko% Alle køkkener'!P14</f>
        <v>0</v>
      </c>
      <c r="K12" s="58">
        <f>'Øko% Alle køkkener'!Q14</f>
        <v>0</v>
      </c>
      <c r="L12" s="58">
        <f>'Øko% Alle køkkener'!R14</f>
        <v>8</v>
      </c>
      <c r="M12" s="58">
        <f>'Øko% Alle køkkener'!S14</f>
        <v>8.4499999999999993</v>
      </c>
      <c r="N12" s="58">
        <f>'Øko% Alle køkkener'!T14</f>
        <v>0</v>
      </c>
      <c r="O12" s="58">
        <f>'Øko% Alle køkkener'!U14</f>
        <v>0</v>
      </c>
    </row>
    <row r="13" spans="1:15" x14ac:dyDescent="0.25">
      <c r="A13" s="60" t="str">
        <f>'Øko% Alle køkkener'!A15</f>
        <v>Børnehuset Lyngholm nr. 17 (børneh.)</v>
      </c>
      <c r="B13" s="60">
        <f>+VLOOKUP(A13,'Øko% Alle køkkener'!$A$5:$H$114,3,FALSE)</f>
        <v>0</v>
      </c>
      <c r="C13" s="61">
        <f>'Øko% Alle køkkener'!I15</f>
        <v>96.434078320467961</v>
      </c>
      <c r="D13" s="60">
        <f>'Øko% Alle køkkener'!J15</f>
        <v>1613.5619999999999</v>
      </c>
      <c r="E13" s="60">
        <f>'Øko% Alle køkkener'!K15</f>
        <v>1673.2280000000001</v>
      </c>
      <c r="F13" s="60">
        <f>'Øko% Alle køkkener'!L15</f>
        <v>0</v>
      </c>
      <c r="G13" s="60">
        <f>'Øko% Alle køkkener'!M15</f>
        <v>0</v>
      </c>
      <c r="H13" s="58">
        <f>'Øko% Alle køkkener'!N15</f>
        <v>1605.5619999999999</v>
      </c>
      <c r="I13" s="58">
        <f>'Øko% Alle køkkener'!O15</f>
        <v>1664.778</v>
      </c>
      <c r="J13" s="58">
        <f>'Øko% Alle køkkener'!P15</f>
        <v>0</v>
      </c>
      <c r="K13" s="58">
        <f>'Øko% Alle køkkener'!Q15</f>
        <v>0</v>
      </c>
      <c r="L13" s="58">
        <f>'Øko% Alle køkkener'!R15</f>
        <v>8</v>
      </c>
      <c r="M13" s="58">
        <f>'Øko% Alle køkkener'!S15</f>
        <v>8.4499999999999993</v>
      </c>
      <c r="N13" s="58">
        <f>'Øko% Alle køkkener'!T15</f>
        <v>0</v>
      </c>
      <c r="O13" s="58">
        <f>'Øko% Alle køkkener'!U15</f>
        <v>0</v>
      </c>
    </row>
    <row r="14" spans="1:15" x14ac:dyDescent="0.25">
      <c r="A14" s="60" t="str">
        <f>'Øko% Alle køkkener'!A16</f>
        <v>Børnehuset Mimers Brønd</v>
      </c>
      <c r="B14" s="60">
        <f>+VLOOKUP(A14,'Øko% Alle køkkener'!$A$5:$H$114,3,FALSE)</f>
        <v>0</v>
      </c>
      <c r="C14" s="61">
        <f>'Øko% Alle køkkener'!I16</f>
        <v>94.340626614554637</v>
      </c>
      <c r="D14" s="60">
        <f>'Øko% Alle køkkener'!J16</f>
        <v>1099.24</v>
      </c>
      <c r="E14" s="60">
        <f>'Øko% Alle køkkener'!K16</f>
        <v>1165.182</v>
      </c>
      <c r="F14" s="60">
        <f>'Øko% Alle køkkener'!L16</f>
        <v>0</v>
      </c>
      <c r="G14" s="60">
        <f>'Øko% Alle køkkener'!M16</f>
        <v>0</v>
      </c>
      <c r="H14" s="58">
        <f>'Øko% Alle køkkener'!N16</f>
        <v>1093.24</v>
      </c>
      <c r="I14" s="58">
        <f>'Øko% Alle køkkener'!O16</f>
        <v>1153.982</v>
      </c>
      <c r="J14" s="58">
        <f>'Øko% Alle køkkener'!P16</f>
        <v>0</v>
      </c>
      <c r="K14" s="58">
        <f>'Øko% Alle køkkener'!Q16</f>
        <v>0</v>
      </c>
      <c r="L14" s="58">
        <f>'Øko% Alle køkkener'!R16</f>
        <v>6</v>
      </c>
      <c r="M14" s="58">
        <f>'Øko% Alle køkkener'!S16</f>
        <v>11.2</v>
      </c>
      <c r="N14" s="58">
        <f>'Øko% Alle køkkener'!T16</f>
        <v>0</v>
      </c>
      <c r="O14" s="58">
        <f>'Øko% Alle køkkener'!U16</f>
        <v>0</v>
      </c>
    </row>
    <row r="15" spans="1:15" x14ac:dyDescent="0.25">
      <c r="A15" s="60" t="str">
        <f>'Øko% Alle køkkener'!A17</f>
        <v>Børnehuset Nørreskoven</v>
      </c>
      <c r="B15" s="60">
        <f>+VLOOKUP(A15,'Øko% Alle køkkener'!$A$5:$H$114,3,FALSE)</f>
        <v>1017035</v>
      </c>
      <c r="C15" s="61">
        <f>'Øko% Alle køkkener'!I17</f>
        <v>96.410344718521443</v>
      </c>
      <c r="D15" s="58">
        <f>'Øko% Alle køkkener'!J17</f>
        <v>1371.683</v>
      </c>
      <c r="E15" s="60">
        <f>'Øko% Alle køkkener'!K17</f>
        <v>1422.7550000000001</v>
      </c>
      <c r="F15" s="60">
        <f>'Øko% Alle køkkener'!L17</f>
        <v>0</v>
      </c>
      <c r="G15" s="60">
        <f>'Øko% Alle køkkener'!M17</f>
        <v>0</v>
      </c>
      <c r="H15" s="58">
        <f>'Øko% Alle køkkener'!N17</f>
        <v>1358.7349999999999</v>
      </c>
      <c r="I15" s="58">
        <f>'Øko% Alle køkkener'!O17</f>
        <v>1409.807</v>
      </c>
      <c r="J15" s="58">
        <f>'Øko% Alle køkkener'!P17</f>
        <v>0</v>
      </c>
      <c r="K15" s="58">
        <f>'Øko% Alle køkkener'!Q17</f>
        <v>0</v>
      </c>
      <c r="L15" s="58">
        <f>'Øko% Alle køkkener'!R17</f>
        <v>12.948</v>
      </c>
      <c r="M15" s="58">
        <f>'Øko% Alle køkkener'!S17</f>
        <v>12.948</v>
      </c>
      <c r="N15" s="58">
        <f>'Øko% Alle køkkener'!T17</f>
        <v>0</v>
      </c>
      <c r="O15" s="58">
        <f>'Øko% Alle køkkener'!U17</f>
        <v>0</v>
      </c>
    </row>
    <row r="16" spans="1:15" x14ac:dyDescent="0.25">
      <c r="A16" s="60" t="str">
        <f>'Øko% Alle køkkener'!A18</f>
        <v>Børnehuset Siv</v>
      </c>
      <c r="B16" s="60"/>
      <c r="C16" s="61">
        <f>'Øko% Alle køkkener'!I18</f>
        <v>65.918427922853283</v>
      </c>
      <c r="D16" s="60">
        <f>'Øko% Alle køkkener'!J18</f>
        <v>195.43100000000001</v>
      </c>
      <c r="E16" s="60">
        <f>'Øko% Alle køkkener'!K18</f>
        <v>296.47399999999999</v>
      </c>
      <c r="F16" s="60">
        <f>'Øko% Alle køkkener'!L31</f>
        <v>0</v>
      </c>
      <c r="G16" s="60">
        <f>'Øko% Alle køkkener'!M31</f>
        <v>0</v>
      </c>
      <c r="H16" s="58">
        <f>'Øko% Alle køkkener'!N18</f>
        <v>0</v>
      </c>
      <c r="I16" s="58">
        <f>'Øko% Alle køkkener'!O18</f>
        <v>0</v>
      </c>
      <c r="J16" s="58">
        <f>'Øko% Alle køkkener'!P18</f>
        <v>0</v>
      </c>
      <c r="K16" s="58">
        <f>'Øko% Alle køkkener'!Q18</f>
        <v>0</v>
      </c>
      <c r="L16" s="58">
        <f>'Øko% Alle køkkener'!R18</f>
        <v>0</v>
      </c>
      <c r="M16" s="58">
        <f>'Øko% Alle køkkener'!S18</f>
        <v>0</v>
      </c>
      <c r="N16" s="58">
        <f>'Øko% Alle køkkener'!T18</f>
        <v>0</v>
      </c>
      <c r="O16" s="58">
        <f>'Øko% Alle køkkener'!U18</f>
        <v>0</v>
      </c>
    </row>
    <row r="17" spans="1:15" x14ac:dyDescent="0.25">
      <c r="A17" s="60" t="str">
        <f>'Øko% Alle køkkener'!A19</f>
        <v>Børnehuset Skovbakken</v>
      </c>
      <c r="B17" s="60">
        <f>+VLOOKUP(A17,'Øko% Alle køkkener'!$A$5:$H$114,3,FALSE)</f>
        <v>0</v>
      </c>
      <c r="C17" s="61">
        <f>'Øko% Alle køkkener'!I19</f>
        <v>90.987409455277728</v>
      </c>
      <c r="D17" s="60">
        <f>'Øko% Alle køkkener'!J19</f>
        <v>1048.2249999999999</v>
      </c>
      <c r="E17" s="60">
        <f>'Øko% Alle køkkener'!K19</f>
        <v>1152.0550000000001</v>
      </c>
      <c r="F17" s="60">
        <f>'Øko% Alle køkkener'!L32</f>
        <v>0</v>
      </c>
      <c r="G17" s="60">
        <f>'Øko% Alle køkkener'!M32</f>
        <v>0</v>
      </c>
      <c r="H17" s="58">
        <f>'Øko% Alle køkkener'!N19</f>
        <v>1040.2249999999999</v>
      </c>
      <c r="I17" s="58">
        <f>'Øko% Alle køkkener'!O19</f>
        <v>1143.077</v>
      </c>
      <c r="J17" s="58">
        <f>'Øko% Alle køkkener'!P19</f>
        <v>0</v>
      </c>
      <c r="K17" s="58">
        <f>'Øko% Alle køkkener'!Q19</f>
        <v>0</v>
      </c>
      <c r="L17" s="58">
        <f>'Øko% Alle køkkener'!R19</f>
        <v>8</v>
      </c>
      <c r="M17" s="58">
        <f>'Øko% Alle køkkener'!S19</f>
        <v>8.9779999999999998</v>
      </c>
      <c r="N17" s="58">
        <f>'Øko% Alle køkkener'!T19</f>
        <v>0</v>
      </c>
      <c r="O17" s="58">
        <f>'Øko% Alle køkkener'!U19</f>
        <v>0</v>
      </c>
    </row>
    <row r="18" spans="1:15" x14ac:dyDescent="0.25">
      <c r="A18" s="60" t="str">
        <f>'Øko% Alle køkkener'!A20</f>
        <v>Børnehuset Solbjerg</v>
      </c>
      <c r="B18" s="60">
        <f>+VLOOKUP(A18,'Øko% Alle køkkener'!$A$5:$H$114,3,FALSE)</f>
        <v>2163049</v>
      </c>
      <c r="C18" s="61">
        <f>'Øko% Alle køkkener'!I20</f>
        <v>99.375111292843627</v>
      </c>
      <c r="D18" s="60">
        <f>'Øko% Alle køkkener'!J20</f>
        <v>1808.154</v>
      </c>
      <c r="E18" s="60">
        <f>'Øko% Alle køkkener'!K20</f>
        <v>1819.5239999999999</v>
      </c>
      <c r="F18" s="60">
        <f>'Øko% Alle køkkener'!L20</f>
        <v>57</v>
      </c>
      <c r="G18" s="60">
        <f>'Øko% Alle køkkener'!M20</f>
        <v>63.86</v>
      </c>
      <c r="H18" s="58">
        <f>'Øko% Alle køkkener'!N20</f>
        <v>1733.01</v>
      </c>
      <c r="I18" s="58">
        <f>'Øko% Alle køkkener'!O20</f>
        <v>1737.52</v>
      </c>
      <c r="J18" s="58">
        <f>'Øko% Alle køkkener'!P20</f>
        <v>0</v>
      </c>
      <c r="K18" s="58">
        <f>'Øko% Alle køkkener'!Q20</f>
        <v>0</v>
      </c>
      <c r="L18" s="58">
        <f>'Øko% Alle køkkener'!R20</f>
        <v>18.143999999999998</v>
      </c>
      <c r="M18" s="58">
        <f>'Øko% Alle køkkener'!S20</f>
        <v>18.143999999999998</v>
      </c>
      <c r="N18" s="58">
        <f>'Øko% Alle køkkener'!T20</f>
        <v>0</v>
      </c>
      <c r="O18" s="58">
        <f>'Øko% Alle køkkener'!U20</f>
        <v>0</v>
      </c>
    </row>
    <row r="19" spans="1:15" x14ac:dyDescent="0.25">
      <c r="A19" s="60" t="str">
        <f>'Øko% Alle køkkener'!A21</f>
        <v>Børnehuset Søndersø</v>
      </c>
      <c r="B19" s="60">
        <f>+VLOOKUP(A19,'Øko% Alle køkkener'!$A$5:$H$114,3,FALSE)</f>
        <v>0</v>
      </c>
      <c r="C19" s="61">
        <f>'Øko% Alle køkkener'!I21</f>
        <v>79.366823074630062</v>
      </c>
      <c r="D19" s="60">
        <f>'Øko% Alle køkkener'!J21</f>
        <v>2579.9670000000001</v>
      </c>
      <c r="E19" s="60">
        <f>'Øko% Alle køkkener'!K21</f>
        <v>3250.6870000000004</v>
      </c>
      <c r="F19" s="60">
        <f>'Øko% Alle køkkener'!L21</f>
        <v>0</v>
      </c>
      <c r="G19" s="60">
        <f>'Øko% Alle køkkener'!M21</f>
        <v>0</v>
      </c>
      <c r="H19" s="58">
        <f>'Øko% Alle køkkener'!N21</f>
        <v>2577.123</v>
      </c>
      <c r="I19" s="58">
        <f>'Øko% Alle køkkener'!O21</f>
        <v>3190.0210000000002</v>
      </c>
      <c r="J19" s="58">
        <f>'Øko% Alle køkkener'!P21</f>
        <v>0</v>
      </c>
      <c r="K19" s="58">
        <f>'Øko% Alle køkkener'!Q21</f>
        <v>0</v>
      </c>
      <c r="L19" s="58">
        <f>'Øko% Alle køkkener'!R22</f>
        <v>2.8439999999999999</v>
      </c>
      <c r="M19" s="58">
        <f>'Øko% Alle køkkener'!S21</f>
        <v>60.665999999999997</v>
      </c>
      <c r="N19" s="58">
        <f>'Øko% Alle køkkener'!T21</f>
        <v>0</v>
      </c>
      <c r="O19" s="58">
        <f>'Øko% Alle køkkener'!U21</f>
        <v>0</v>
      </c>
    </row>
    <row r="20" spans="1:15" x14ac:dyDescent="0.25">
      <c r="A20" s="60" t="str">
        <f>'Øko% Alle køkkener'!A22</f>
        <v>Børnehuset Vingesus</v>
      </c>
      <c r="B20" s="60">
        <f>+VLOOKUP(A20,'Øko% Alle køkkener'!$A$5:$H$114,3,FALSE)</f>
        <v>0</v>
      </c>
      <c r="C20" s="61">
        <f>'Øko% Alle køkkener'!I22</f>
        <v>96.500422541529716</v>
      </c>
      <c r="D20" s="60">
        <f>'Øko% Alle køkkener'!J22</f>
        <v>3183.63</v>
      </c>
      <c r="E20" s="60">
        <f>'Øko% Alle køkkener'!K22</f>
        <v>3299.0839999999998</v>
      </c>
      <c r="F20" s="60">
        <f>'Øko% Alle køkkener'!L22</f>
        <v>0</v>
      </c>
      <c r="G20" s="60">
        <f>'Øko% Alle køkkener'!M22</f>
        <v>0</v>
      </c>
      <c r="H20" s="58">
        <f>'Øko% Alle køkkener'!N22</f>
        <v>3183.63</v>
      </c>
      <c r="I20" s="58">
        <f>'Øko% Alle køkkener'!O22</f>
        <v>3296.24</v>
      </c>
      <c r="J20" s="58">
        <f>'Øko% Alle køkkener'!P22</f>
        <v>0</v>
      </c>
      <c r="K20" s="58">
        <f>'Øko% Alle køkkener'!Q22</f>
        <v>0</v>
      </c>
      <c r="L20" s="58">
        <f>'Øko% Alle køkkener'!R23</f>
        <v>0</v>
      </c>
      <c r="M20" s="58">
        <f>'Øko% Alle køkkener'!S22</f>
        <v>2.8439999999999999</v>
      </c>
      <c r="N20" s="58">
        <f>'Øko% Alle køkkener'!T22</f>
        <v>0</v>
      </c>
      <c r="O20" s="58">
        <f>'Øko% Alle køkkener'!U22</f>
        <v>0</v>
      </c>
    </row>
    <row r="21" spans="1:15" x14ac:dyDescent="0.25">
      <c r="A21" s="58" t="str">
        <f>'Øko% Alle køkkener'!A23</f>
        <v>Cassiopeia, Galaksen. Opgøres af Cassiopeia</v>
      </c>
      <c r="B21" s="60">
        <f>+VLOOKUP(A21,'Øko% Alle køkkener'!$A$5:$H$114,3,FALSE)</f>
        <v>2243447</v>
      </c>
      <c r="C21" s="59">
        <f>'Øko% Alle køkkener'!I23</f>
        <v>31.248826379239119</v>
      </c>
      <c r="D21" s="58">
        <f>'Øko% Alle køkkener'!J23</f>
        <v>199.69499999999999</v>
      </c>
      <c r="E21" s="58">
        <f>'Øko% Alle køkkener'!K23</f>
        <v>639.048</v>
      </c>
      <c r="F21" s="58">
        <f>'Øko% Alle køkkener'!L23</f>
        <v>1</v>
      </c>
      <c r="G21" s="58">
        <f>'Øko% Alle køkkener'!M23</f>
        <v>45.73</v>
      </c>
      <c r="H21" s="58">
        <f>'Øko% Alle køkkener'!N23</f>
        <v>198.69499999999999</v>
      </c>
      <c r="I21" s="58">
        <f>'Øko% Alle køkkener'!O23</f>
        <v>593.31799999999998</v>
      </c>
      <c r="J21" s="58">
        <f>'Øko% Alle køkkener'!P23</f>
        <v>0</v>
      </c>
      <c r="K21" s="58">
        <f>'Øko% Alle køkkener'!Q23</f>
        <v>0</v>
      </c>
      <c r="L21" s="58">
        <f>'Øko% Alle køkkener'!R23</f>
        <v>0</v>
      </c>
      <c r="M21" s="58">
        <f>'Øko% Alle køkkener'!S23</f>
        <v>0</v>
      </c>
      <c r="N21" s="58">
        <f>'Øko% Alle køkkener'!T23</f>
        <v>0</v>
      </c>
      <c r="O21" s="58">
        <f>'Øko% Alle køkkener'!U23</f>
        <v>0</v>
      </c>
    </row>
    <row r="22" spans="1:15" x14ac:dyDescent="0.25">
      <c r="A22" s="62" t="str">
        <f>'Øko% Alle køkkener'!A25</f>
        <v>Dalgårdens Børnehus</v>
      </c>
      <c r="B22" s="60">
        <f>+VLOOKUP(A22,'Øko% Alle køkkener'!$A$5:$H$114,3,FALSE)</f>
        <v>1017649</v>
      </c>
      <c r="C22" s="62">
        <f>'Øko% Alle køkkener'!I25</f>
        <v>99.938060360179009</v>
      </c>
      <c r="D22" s="62">
        <f>'Øko% Alle køkkener'!J25</f>
        <v>1613.4749999999999</v>
      </c>
      <c r="E22" s="62">
        <f>'Øko% Alle køkkener'!K25</f>
        <v>1614.4749999999999</v>
      </c>
      <c r="F22" s="62">
        <f>'Øko% Alle køkkener'!L25</f>
        <v>0</v>
      </c>
      <c r="G22" s="62">
        <f>'Øko% Alle køkkener'!M25</f>
        <v>0</v>
      </c>
      <c r="H22" s="58">
        <f>'Øko% Alle køkkener'!N25</f>
        <v>1597.4749999999999</v>
      </c>
      <c r="I22" s="58">
        <f>'Øko% Alle køkkener'!O25</f>
        <v>1598.4749999999999</v>
      </c>
      <c r="J22" s="58">
        <f>'Øko% Alle køkkener'!P25</f>
        <v>0</v>
      </c>
      <c r="K22" s="58">
        <f>'Øko% Alle køkkener'!Q25</f>
        <v>0</v>
      </c>
      <c r="L22" s="58">
        <f>'Øko% Alle køkkener'!R25</f>
        <v>16</v>
      </c>
      <c r="M22" s="58">
        <f>'Øko% Alle køkkener'!S25</f>
        <v>16</v>
      </c>
      <c r="N22" s="58">
        <f>'Øko% Alle køkkener'!T25</f>
        <v>0</v>
      </c>
      <c r="O22" s="58">
        <f>'Øko% Alle køkkener'!U25</f>
        <v>0</v>
      </c>
    </row>
    <row r="23" spans="1:15" x14ac:dyDescent="0.25">
      <c r="A23" s="58" t="str">
        <f>'Øko% Alle køkkener'!A28</f>
        <v>Egeskolen, kantine</v>
      </c>
      <c r="B23" s="60">
        <f>+VLOOKUP(A23,'Øko% Alle køkkener'!$A$5:$H$114,3,FALSE)</f>
        <v>1192523</v>
      </c>
      <c r="C23" s="59">
        <f>'Øko% Alle køkkener'!I28</f>
        <v>11.661721915924273</v>
      </c>
      <c r="D23" s="58">
        <f>'Øko% Alle køkkener'!J28</f>
        <v>57.152000000000001</v>
      </c>
      <c r="E23" s="58">
        <f>'Øko% Alle køkkener'!K28</f>
        <v>490.08199999999999</v>
      </c>
      <c r="F23" s="58">
        <f>'Øko% Alle køkkener'!L28</f>
        <v>57.152000000000001</v>
      </c>
      <c r="G23" s="58">
        <f>'Øko% Alle køkkener'!M28</f>
        <v>490.08199999999999</v>
      </c>
      <c r="H23" s="58">
        <f>'Øko% Alle køkkener'!N28</f>
        <v>0</v>
      </c>
      <c r="I23" s="58">
        <f>'Øko% Alle køkkener'!O28</f>
        <v>0</v>
      </c>
      <c r="J23" s="58">
        <f>'Øko% Alle køkkener'!P28</f>
        <v>0</v>
      </c>
      <c r="K23" s="58">
        <f>'Øko% Alle køkkener'!Q28</f>
        <v>0</v>
      </c>
      <c r="L23" s="58">
        <f>'Øko% Alle køkkener'!R28</f>
        <v>0</v>
      </c>
      <c r="M23" s="58">
        <f>'Øko% Alle køkkener'!S28</f>
        <v>0</v>
      </c>
      <c r="N23" s="58">
        <f>'Øko% Alle køkkener'!T28</f>
        <v>0</v>
      </c>
      <c r="O23" s="58">
        <f>'Øko% Alle køkkener'!U28</f>
        <v>0</v>
      </c>
    </row>
    <row r="24" spans="1:15" x14ac:dyDescent="0.25">
      <c r="A24" s="60" t="str">
        <f>'Øko% Alle køkkener'!A32</f>
        <v>Farum Nordby Børnehus</v>
      </c>
      <c r="B24" s="60">
        <f>+VLOOKUP(A24,'Øko% Alle køkkener'!$A$5:$H$114,3,FALSE)</f>
        <v>2248847</v>
      </c>
      <c r="C24" s="61">
        <f>'Øko% Alle køkkener'!I32</f>
        <v>88.569603838423134</v>
      </c>
      <c r="D24" s="60">
        <f>'Øko% Alle køkkener'!J32</f>
        <v>1366.009</v>
      </c>
      <c r="E24" s="60">
        <f>'Øko% Alle køkkener'!K32</f>
        <v>1542.3</v>
      </c>
      <c r="F24" s="60">
        <f>'Øko% Alle køkkener'!L32</f>
        <v>0</v>
      </c>
      <c r="G24" s="60">
        <f>'Øko% Alle køkkener'!M32</f>
        <v>0</v>
      </c>
      <c r="H24" s="58">
        <f>'Øko% Alle køkkener'!N32</f>
        <v>1351.009</v>
      </c>
      <c r="I24" s="58">
        <f>'Øko% Alle køkkener'!O32</f>
        <v>1526.922</v>
      </c>
      <c r="J24" s="58">
        <f>'Øko% Alle køkkener'!P32</f>
        <v>0</v>
      </c>
      <c r="K24" s="58">
        <f>'Øko% Alle køkkener'!Q32</f>
        <v>0</v>
      </c>
      <c r="L24" s="58">
        <f>'Øko% Alle køkkener'!R32</f>
        <v>15</v>
      </c>
      <c r="M24" s="58">
        <f>'Øko% Alle køkkener'!S32</f>
        <v>15.378</v>
      </c>
      <c r="N24" s="58">
        <f>'Øko% Alle køkkener'!T32</f>
        <v>0</v>
      </c>
      <c r="O24" s="58">
        <f>'Øko% Alle køkkener'!U32</f>
        <v>0</v>
      </c>
    </row>
    <row r="25" spans="1:15" x14ac:dyDescent="0.25">
      <c r="A25" s="58" t="str">
        <f>'Øko% Alle køkkener'!A33</f>
        <v>Farum Vejgaard, BH/VS</v>
      </c>
      <c r="B25" s="60">
        <f>+VLOOKUP(A25,'Øko% Alle køkkener'!$A$5:$H$114,3,FALSE)</f>
        <v>0</v>
      </c>
      <c r="C25" s="58">
        <f>'Øko% Alle køkkener'!I33</f>
        <v>88.122592832921669</v>
      </c>
      <c r="D25" s="58">
        <f>'Øko% Alle køkkener'!J33</f>
        <v>673.59500000000003</v>
      </c>
      <c r="E25" s="58">
        <f>'Øko% Alle køkkener'!K33</f>
        <v>764.38400000000001</v>
      </c>
      <c r="F25" s="58">
        <f>'Øko% Alle køkkener'!L33</f>
        <v>0</v>
      </c>
      <c r="G25" s="58">
        <f>'Øko% Alle køkkener'!M33</f>
        <v>0</v>
      </c>
      <c r="H25" s="58">
        <f>'Øko% Alle køkkener'!N33</f>
        <v>665.59500000000003</v>
      </c>
      <c r="I25" s="58">
        <f>'Øko% Alle køkkener'!O33</f>
        <v>756.38400000000001</v>
      </c>
      <c r="J25" s="58">
        <f>'Øko% Alle køkkener'!P33</f>
        <v>0</v>
      </c>
      <c r="K25" s="58">
        <f>'Øko% Alle køkkener'!Q33</f>
        <v>0</v>
      </c>
      <c r="L25" s="58">
        <f>'Øko% Alle køkkener'!R33</f>
        <v>8</v>
      </c>
      <c r="M25" s="58">
        <f>'Øko% Alle køkkener'!S33</f>
        <v>8</v>
      </c>
      <c r="N25" s="58">
        <f>'Øko% Alle køkkener'!T33</f>
        <v>0</v>
      </c>
      <c r="O25" s="58">
        <f>'Øko% Alle køkkener'!U33</f>
        <v>0</v>
      </c>
    </row>
    <row r="26" spans="1:15" x14ac:dyDescent="0.25">
      <c r="A26" s="58" t="str">
        <f>+'Øko% Alle køkkener'!A34</f>
        <v>Farumsødal</v>
      </c>
      <c r="B26" s="60">
        <f>+VLOOKUP(A26,'Øko% Alle køkkener'!$A$5:$H$114,3,FALSE)</f>
        <v>2164133</v>
      </c>
      <c r="C26" s="59">
        <f>'Øko% Alle køkkener'!I34</f>
        <v>92.167540895451367</v>
      </c>
      <c r="D26" s="58">
        <f>'Øko% Alle køkkener'!J34</f>
        <v>1967.624</v>
      </c>
      <c r="E26" s="58">
        <f>'Øko% Alle køkkener'!K34</f>
        <v>2134.8339999999998</v>
      </c>
      <c r="F26" s="58">
        <f>'Øko% Alle køkkener'!L34</f>
        <v>725.09400000000005</v>
      </c>
      <c r="G26" s="58">
        <f>'Øko% Alle køkkener'!M34</f>
        <v>788.98900000000003</v>
      </c>
      <c r="H26" s="58">
        <f>'Øko% Alle køkkener'!N34</f>
        <v>1226.242</v>
      </c>
      <c r="I26" s="58">
        <f>'Øko% Alle køkkener'!O34</f>
        <v>1329.1969999999999</v>
      </c>
      <c r="J26" s="58">
        <f>'Øko% Alle køkkener'!P34</f>
        <v>0</v>
      </c>
      <c r="K26" s="58">
        <f>'Øko% Alle køkkener'!Q34</f>
        <v>0</v>
      </c>
      <c r="L26" s="58">
        <f>'Øko% Alle køkkener'!R34</f>
        <v>16.288</v>
      </c>
      <c r="M26" s="58">
        <f>'Øko% Alle køkkener'!S34</f>
        <v>16.648</v>
      </c>
      <c r="N26" s="58">
        <f>'Øko% Alle køkkener'!T34</f>
        <v>0</v>
      </c>
      <c r="O26" s="58">
        <f>'Øko% Alle køkkener'!U34</f>
        <v>0</v>
      </c>
    </row>
    <row r="27" spans="1:15" x14ac:dyDescent="0.25">
      <c r="A27" s="58" t="str">
        <f>+'Øko% Alle køkkener'!A41</f>
        <v>Furesø Skole- og Familiehus (inkl. Rådgivning, vejledn. og støtte)</v>
      </c>
      <c r="B27" s="60">
        <f>+VLOOKUP(A27,'Øko% Alle køkkener'!$A$5:$H$114,3,FALSE)</f>
        <v>1066946</v>
      </c>
      <c r="C27" s="59">
        <f>'Øko% Alle køkkener'!I41</f>
        <v>86.103341939185313</v>
      </c>
      <c r="D27" s="58">
        <f>'Øko% Alle køkkener'!J41</f>
        <v>192.1</v>
      </c>
      <c r="E27" s="58">
        <f>'Øko% Alle køkkener'!K41</f>
        <v>223.10400000000001</v>
      </c>
      <c r="F27" s="58">
        <f>'Øko% Alle køkkener'!L41</f>
        <v>174.1</v>
      </c>
      <c r="G27" s="58">
        <f>'Øko% Alle køkkener'!M41</f>
        <v>205.10400000000001</v>
      </c>
      <c r="H27" s="58" t="str">
        <f>'Øko% Alle køkkener'!N41</f>
        <v>0</v>
      </c>
      <c r="I27" s="58" t="str">
        <f>'Øko% Alle køkkener'!O41</f>
        <v>0</v>
      </c>
      <c r="J27" s="58">
        <f>'Øko% Alle køkkener'!P41</f>
        <v>0</v>
      </c>
      <c r="K27" s="58">
        <f>'Øko% Alle køkkener'!Q41</f>
        <v>0</v>
      </c>
      <c r="L27" s="58">
        <f>'Øko% Alle køkkener'!R41</f>
        <v>18</v>
      </c>
      <c r="M27" s="58">
        <f>'Øko% Alle køkkener'!S41</f>
        <v>18</v>
      </c>
      <c r="N27" s="58">
        <f>'Øko% Alle køkkener'!T41</f>
        <v>0</v>
      </c>
      <c r="O27" s="58">
        <f>'Øko% Alle køkkener'!U41</f>
        <v>0</v>
      </c>
    </row>
    <row r="28" spans="1:15" ht="17.45" customHeight="1" x14ac:dyDescent="0.25">
      <c r="A28" s="58" t="str">
        <f>'Øko% Alle køkkener'!A46</f>
        <v>Hareskov Børnehus</v>
      </c>
      <c r="B28" s="60">
        <f>+VLOOKUP(A28,'Øko% Alle køkkener'!$A$5:$H$114,3,FALSE)</f>
        <v>0</v>
      </c>
      <c r="C28" s="59">
        <f>'Øko% Alle køkkener'!I46</f>
        <v>98.985693262726528</v>
      </c>
      <c r="D28" s="58">
        <f>'Øko% Alle køkkener'!J46</f>
        <v>1820.825</v>
      </c>
      <c r="E28" s="58">
        <f>'Øko% Alle køkkener'!K46</f>
        <v>1839.4830000000002</v>
      </c>
      <c r="F28" s="58">
        <f>'Øko% Alle køkkener'!L46</f>
        <v>0</v>
      </c>
      <c r="G28" s="58">
        <f>'Øko% Alle køkkener'!M46</f>
        <v>0</v>
      </c>
      <c r="H28" s="58">
        <f>'Øko% Alle køkkener'!N46</f>
        <v>1813.925</v>
      </c>
      <c r="I28" s="58">
        <f>'Øko% Alle køkkener'!O46</f>
        <v>1819.0250000000001</v>
      </c>
      <c r="J28" s="58">
        <f>'Øko% Alle køkkener'!P46</f>
        <v>0</v>
      </c>
      <c r="K28" s="58">
        <f>'Øko% Alle køkkener'!Q46</f>
        <v>0</v>
      </c>
      <c r="L28" s="58">
        <f>'Øko% Alle køkkener'!R46</f>
        <v>6.9</v>
      </c>
      <c r="M28" s="58">
        <f>'Øko% Alle køkkener'!S46</f>
        <v>20.457999999999998</v>
      </c>
      <c r="N28" s="58">
        <f>'Øko% Alle køkkener'!T46</f>
        <v>0</v>
      </c>
      <c r="O28" s="58">
        <f>'Øko% Alle køkkener'!U46</f>
        <v>0</v>
      </c>
    </row>
    <row r="29" spans="1:15" ht="17.45" customHeight="1" x14ac:dyDescent="0.25">
      <c r="A29" s="58" t="str">
        <f>+'Øko% Alle køkkener'!A48</f>
        <v>Hareskov FFO - Gasværket, klub</v>
      </c>
      <c r="B29" s="60">
        <f>+VLOOKUP(A29,'Øko% Alle køkkener'!$A$5:$H$114,3,FALSE)</f>
        <v>1128479</v>
      </c>
      <c r="C29" s="59">
        <f>'Øko% Alle køkkener'!I48</f>
        <v>32.033449902313095</v>
      </c>
      <c r="D29" s="59">
        <f>'Øko% Alle køkkener'!J48</f>
        <v>1023.2730000000001</v>
      </c>
      <c r="E29" s="59">
        <f>'Øko% Alle køkkener'!K48</f>
        <v>3194.3890000000001</v>
      </c>
      <c r="F29" s="59">
        <f>'Øko% Alle køkkener'!L48</f>
        <v>197.85400000000001</v>
      </c>
      <c r="G29" s="59">
        <f>'Øko% Alle køkkener'!M48</f>
        <v>1267.146</v>
      </c>
      <c r="H29" s="59">
        <f>'Øko% Alle køkkener'!N48</f>
        <v>825.4190000000001</v>
      </c>
      <c r="I29" s="59">
        <f>'Øko% Alle køkkener'!O48</f>
        <v>1927.2429999999999</v>
      </c>
      <c r="J29" s="59">
        <f>'Øko% Alle køkkener'!P48</f>
        <v>0</v>
      </c>
      <c r="K29" s="59">
        <f>'Øko% Alle køkkener'!Q48</f>
        <v>0</v>
      </c>
      <c r="L29" s="59">
        <f>'Øko% Alle køkkener'!R48</f>
        <v>0</v>
      </c>
      <c r="M29" s="59">
        <f>'Øko% Alle køkkener'!S48</f>
        <v>0</v>
      </c>
      <c r="N29" s="59">
        <f>'Øko% Alle køkkener'!T48</f>
        <v>0</v>
      </c>
      <c r="O29" s="59">
        <f>'Øko% Alle køkkener'!U48</f>
        <v>0</v>
      </c>
    </row>
    <row r="30" spans="1:15" ht="17.45" customHeight="1" x14ac:dyDescent="0.25">
      <c r="A30" s="58" t="str">
        <f>+'Øko% Alle køkkener'!A57</f>
        <v>Krudthuset</v>
      </c>
      <c r="B30" s="60">
        <f>+VLOOKUP(A30,'Øko% Alle køkkener'!$A$5:$H$114,3,FALSE)</f>
        <v>0</v>
      </c>
      <c r="C30" s="59">
        <f>'Øko% Alle køkkener'!I57</f>
        <v>97.746583010401949</v>
      </c>
      <c r="D30" s="59">
        <f>'Øko% Alle køkkener'!J57</f>
        <v>1869.3340000000001</v>
      </c>
      <c r="E30" s="59">
        <f>'Øko% Alle køkkener'!K57</f>
        <v>1912.4290000000001</v>
      </c>
      <c r="F30" s="59">
        <f>'Øko% Alle køkkener'!L57</f>
        <v>0</v>
      </c>
      <c r="G30" s="59">
        <f>'Øko% Alle køkkener'!M57</f>
        <v>0</v>
      </c>
      <c r="H30" s="59">
        <f>'Øko% Alle køkkener'!N57</f>
        <v>1869.3340000000001</v>
      </c>
      <c r="I30" s="59">
        <f>'Øko% Alle køkkener'!O57</f>
        <v>1912.4290000000001</v>
      </c>
      <c r="J30" s="59">
        <f>'Øko% Alle køkkener'!P57</f>
        <v>0</v>
      </c>
      <c r="K30" s="59">
        <f>'Øko% Alle køkkener'!Q57</f>
        <v>0</v>
      </c>
      <c r="L30" s="59">
        <f>'Øko% Alle køkkener'!R57</f>
        <v>0</v>
      </c>
      <c r="M30" s="59">
        <f>'Øko% Alle køkkener'!S57</f>
        <v>0</v>
      </c>
      <c r="N30" s="59">
        <f>'Øko% Alle køkkener'!T57</f>
        <v>0</v>
      </c>
      <c r="O30" s="59">
        <f>'Øko% Alle køkkener'!U57</f>
        <v>0</v>
      </c>
    </row>
    <row r="31" spans="1:15" x14ac:dyDescent="0.25">
      <c r="A31" s="58" t="str">
        <f>'Øko% Alle køkkener'!A60</f>
        <v>Lille Værløse Skole, kantinen</v>
      </c>
      <c r="B31" s="60">
        <f>+VLOOKUP(A31,'Øko% Alle køkkener'!$A$5:$H$114,3,FALSE)</f>
        <v>0</v>
      </c>
      <c r="C31" s="59">
        <f>'Øko% Alle køkkener'!I60</f>
        <v>24.3794335789391</v>
      </c>
      <c r="D31" s="58">
        <f>'Øko% Alle køkkener'!J60</f>
        <v>611.15899999999999</v>
      </c>
      <c r="E31" s="58">
        <f>'Øko% Alle køkkener'!K60</f>
        <v>2506.8629999999998</v>
      </c>
      <c r="F31" s="58">
        <f>'Øko% Alle køkkener'!L60</f>
        <v>0</v>
      </c>
      <c r="G31" s="58">
        <f>'Øko% Alle køkkener'!M60</f>
        <v>0</v>
      </c>
      <c r="H31" s="58">
        <f>'Øko% Alle køkkener'!N60</f>
        <v>611.15899999999999</v>
      </c>
      <c r="I31" s="58">
        <f>'Øko% Alle køkkener'!O60</f>
        <v>2506.8629999999998</v>
      </c>
      <c r="J31" s="58">
        <f>'Øko% Alle køkkener'!P60</f>
        <v>0</v>
      </c>
      <c r="K31" s="58">
        <f>'Øko% Alle køkkener'!Q60</f>
        <v>0</v>
      </c>
      <c r="L31" s="58">
        <f>'Øko% Alle køkkener'!R60</f>
        <v>0</v>
      </c>
      <c r="M31" s="58">
        <f>'Øko% Alle køkkener'!S60</f>
        <v>0</v>
      </c>
      <c r="N31" s="58">
        <f>'Øko% Alle køkkener'!T60</f>
        <v>0</v>
      </c>
      <c r="O31" s="58">
        <f>'Øko% Alle køkkener'!U60</f>
        <v>0</v>
      </c>
    </row>
    <row r="32" spans="1:15" x14ac:dyDescent="0.25">
      <c r="A32" s="58" t="str">
        <f>'Øko% Alle køkkener'!A65</f>
        <v>Lillestjernen FFO</v>
      </c>
      <c r="B32" s="60">
        <f>+VLOOKUP(A32,'Øko% Alle køkkener'!$A$5:$H$114,3,FALSE)</f>
        <v>1346990</v>
      </c>
      <c r="C32" s="59">
        <f>'Øko% Alle køkkener'!I65</f>
        <v>78.425097598688581</v>
      </c>
      <c r="D32" s="59">
        <f>'Øko% Alle køkkener'!J65</f>
        <v>480.32000000000005</v>
      </c>
      <c r="E32" s="59">
        <f>'Øko% Alle køkkener'!K65</f>
        <v>612.45699999999999</v>
      </c>
      <c r="F32" s="59">
        <f>'Øko% Alle køkkener'!L65</f>
        <v>30.545999999999999</v>
      </c>
      <c r="G32" s="59">
        <f>'Øko% Alle køkkener'!M65</f>
        <v>81.603999999999999</v>
      </c>
      <c r="H32" s="59">
        <f>'Øko% Alle køkkener'!N65</f>
        <v>403.93400000000003</v>
      </c>
      <c r="I32" s="59">
        <f>'Øko% Alle køkkener'!O65</f>
        <v>485.01299999999998</v>
      </c>
      <c r="J32" s="59">
        <f>'Øko% Alle køkkener'!P65</f>
        <v>0</v>
      </c>
      <c r="K32" s="59">
        <f>'Øko% Alle køkkener'!Q65</f>
        <v>0</v>
      </c>
      <c r="L32" s="59">
        <f>'Øko% Alle køkkener'!R65</f>
        <v>45.84</v>
      </c>
      <c r="M32" s="59">
        <f>'Øko% Alle køkkener'!S65</f>
        <v>45.84</v>
      </c>
      <c r="N32" s="59">
        <f>'Øko% Alle køkkener'!T65</f>
        <v>0</v>
      </c>
      <c r="O32" s="59">
        <f>'Øko% Alle køkkener'!U65</f>
        <v>0</v>
      </c>
    </row>
    <row r="33" spans="1:15" x14ac:dyDescent="0.25">
      <c r="A33" s="58" t="str">
        <f>'Øko% Alle køkkener'!A67</f>
        <v>Lillevang - Blommehaven</v>
      </c>
      <c r="B33" s="60">
        <f>+VLOOKUP(A33,'Øko% Alle køkkener'!$A$5:$H$114,3,FALSE)</f>
        <v>0</v>
      </c>
      <c r="C33" s="59">
        <f>'Øko% Alle køkkener'!I67</f>
        <v>59.955198753903886</v>
      </c>
      <c r="D33" s="59">
        <f>'Øko% Alle køkkener'!J67</f>
        <v>1219.412</v>
      </c>
      <c r="E33" s="59">
        <f>'Øko% Alle køkkener'!K67</f>
        <v>2033.8719999999998</v>
      </c>
      <c r="F33" s="59">
        <f>'Øko% Alle køkkener'!L67</f>
        <v>0</v>
      </c>
      <c r="G33" s="59">
        <f>'Øko% Alle køkkener'!M67</f>
        <v>0</v>
      </c>
      <c r="H33" s="59">
        <f>'Øko% Alle køkkener'!N67</f>
        <v>1171.412</v>
      </c>
      <c r="I33" s="59">
        <f>'Øko% Alle køkkener'!O67</f>
        <v>1984.1559999999999</v>
      </c>
      <c r="J33" s="59">
        <f>'Øko% Alle køkkener'!P67</f>
        <v>0</v>
      </c>
      <c r="K33" s="59">
        <f>'Øko% Alle køkkener'!Q67</f>
        <v>0</v>
      </c>
      <c r="L33" s="59">
        <f>'Øko% Alle køkkener'!R67</f>
        <v>48</v>
      </c>
      <c r="M33" s="59">
        <f>'Øko% Alle køkkener'!S67</f>
        <v>49.716000000000001</v>
      </c>
      <c r="N33" s="59">
        <f>'Øko% Alle køkkener'!T67</f>
        <v>0</v>
      </c>
      <c r="O33" s="59">
        <f>'Øko% Alle køkkener'!U67</f>
        <v>0</v>
      </c>
    </row>
    <row r="34" spans="1:15" x14ac:dyDescent="0.25">
      <c r="A34" s="58" t="str">
        <f>'Øko% Alle køkkener'!A68</f>
        <v xml:space="preserve">Lillevang - Kornelhaven </v>
      </c>
      <c r="B34" s="60">
        <f>+VLOOKUP(A34,'Øko% Alle køkkener'!$A$5:$H$114,3,FALSE)</f>
        <v>0</v>
      </c>
      <c r="C34" s="59">
        <f>'Øko% Alle køkkener'!I68</f>
        <v>46.666207844230556</v>
      </c>
      <c r="D34" s="59">
        <f>'Øko% Alle køkkener'!J68</f>
        <v>800.10799999999995</v>
      </c>
      <c r="E34" s="59">
        <f>'Øko% Alle køkkener'!K68</f>
        <v>1714.5339999999999</v>
      </c>
      <c r="F34" s="59">
        <f>'Øko% Alle køkkener'!L68</f>
        <v>0</v>
      </c>
      <c r="G34" s="59">
        <f>'Øko% Alle køkkener'!M68</f>
        <v>0</v>
      </c>
      <c r="H34" s="59">
        <f>'Øko% Alle køkkener'!N68</f>
        <v>746.10799999999995</v>
      </c>
      <c r="I34" s="59">
        <f>'Øko% Alle køkkener'!O68</f>
        <v>1660.1559999999999</v>
      </c>
      <c r="J34" s="59">
        <f>'Øko% Alle køkkener'!P68</f>
        <v>0</v>
      </c>
      <c r="K34" s="59">
        <f>'Øko% Alle køkkener'!Q68</f>
        <v>0</v>
      </c>
      <c r="L34" s="59">
        <f>'Øko% Alle køkkener'!R68</f>
        <v>54</v>
      </c>
      <c r="M34" s="59">
        <f>'Øko% Alle køkkener'!S68</f>
        <v>54.378</v>
      </c>
      <c r="N34" s="59">
        <f>'Øko% Alle køkkener'!T68</f>
        <v>0</v>
      </c>
      <c r="O34" s="59">
        <f>'Øko% Alle køkkener'!U68</f>
        <v>0</v>
      </c>
    </row>
    <row r="35" spans="1:15" x14ac:dyDescent="0.25">
      <c r="A35" s="58" t="str">
        <f>'Øko% Alle køkkener'!A69</f>
        <v>Lillevang - Køkken</v>
      </c>
      <c r="B35" s="60">
        <f>+VLOOKUP(A35,'Øko% Alle køkkener'!$A$5:$H$114,3,FALSE)</f>
        <v>0</v>
      </c>
      <c r="C35" s="59">
        <f>'Øko% Alle køkkener'!I69</f>
        <v>53.871556575651461</v>
      </c>
      <c r="D35" s="59">
        <f>'Øko% Alle køkkener'!J69</f>
        <v>7959.8009999999995</v>
      </c>
      <c r="E35" s="59">
        <f>'Øko% Alle køkkener'!K69</f>
        <v>14775.517</v>
      </c>
      <c r="F35" s="59">
        <f>'Øko% Alle køkkener'!L69</f>
        <v>0</v>
      </c>
      <c r="G35" s="59">
        <f>'Øko% Alle køkkener'!M69</f>
        <v>0</v>
      </c>
      <c r="H35" s="59">
        <f>'Øko% Alle køkkener'!N69</f>
        <v>7836.7389999999996</v>
      </c>
      <c r="I35" s="59">
        <f>'Øko% Alle køkkener'!O69</f>
        <v>14647.754999999999</v>
      </c>
      <c r="J35" s="59">
        <f>'Øko% Alle køkkener'!P69</f>
        <v>0</v>
      </c>
      <c r="K35" s="59">
        <f>'Øko% Alle køkkener'!Q69</f>
        <v>0</v>
      </c>
      <c r="L35" s="59">
        <f>'Øko% Alle køkkener'!R69</f>
        <v>120.432</v>
      </c>
      <c r="M35" s="59">
        <f>'Øko% Alle køkkener'!S69</f>
        <v>120.432</v>
      </c>
      <c r="N35" s="191">
        <f>'Øko% Alle køkkener'!T69</f>
        <v>2.63</v>
      </c>
      <c r="O35" s="191">
        <f>'Øko% Alle køkkener'!U69</f>
        <v>7.33</v>
      </c>
    </row>
    <row r="36" spans="1:15" x14ac:dyDescent="0.25">
      <c r="A36" s="58" t="str">
        <f>'Øko% Alle køkkener'!A70</f>
        <v>Lillevang - Magnoliehaven</v>
      </c>
      <c r="B36" s="60">
        <f>+VLOOKUP(A36,'Øko% Alle køkkener'!$A$5:$H$114,3,FALSE)</f>
        <v>0</v>
      </c>
      <c r="C36" s="59">
        <f>'Øko% Alle køkkener'!I70</f>
        <v>42.900539852342831</v>
      </c>
      <c r="D36" s="59">
        <f>'Øko% Alle køkkener'!J70</f>
        <v>741.9849999999999</v>
      </c>
      <c r="E36" s="59">
        <f>'Øko% Alle køkkener'!K70</f>
        <v>1729.547</v>
      </c>
      <c r="F36" s="59">
        <f>'Øko% Alle køkkener'!L70</f>
        <v>0</v>
      </c>
      <c r="G36" s="59">
        <f>'Øko% Alle køkkener'!M70</f>
        <v>0</v>
      </c>
      <c r="H36" s="59">
        <f>'Øko% Alle køkkener'!N70</f>
        <v>674.66499999999996</v>
      </c>
      <c r="I36" s="59">
        <f>'Øko% Alle køkkener'!O70</f>
        <v>1662.2270000000001</v>
      </c>
      <c r="J36" s="59">
        <f>'Øko% Alle køkkener'!P70</f>
        <v>0</v>
      </c>
      <c r="K36" s="59">
        <f>'Øko% Alle køkkener'!Q70</f>
        <v>0</v>
      </c>
      <c r="L36" s="59">
        <f>'Øko% Alle køkkener'!R70</f>
        <v>67.319999999999993</v>
      </c>
      <c r="M36" s="59">
        <f>'Øko% Alle køkkener'!S70</f>
        <v>67.319999999999993</v>
      </c>
      <c r="N36" s="59">
        <f>'Øko% Alle køkkener'!T70</f>
        <v>0</v>
      </c>
      <c r="O36" s="59">
        <f>'Øko% Alle køkkener'!U70</f>
        <v>0</v>
      </c>
    </row>
    <row r="37" spans="1:15" x14ac:dyDescent="0.25">
      <c r="A37" s="58" t="str">
        <f>'Øko% Alle køkkener'!A71</f>
        <v>Lillevang - Syrenhaven</v>
      </c>
      <c r="B37" s="60">
        <f>+VLOOKUP(A37,'Øko% Alle køkkener'!$A$5:$H$114,3,FALSE)</f>
        <v>0</v>
      </c>
      <c r="C37" s="59">
        <f>'Øko% Alle køkkener'!I71</f>
        <v>21.712211616805789</v>
      </c>
      <c r="D37" s="59">
        <f>'Øko% Alle køkkener'!J71</f>
        <v>303.52</v>
      </c>
      <c r="E37" s="59">
        <f>'Øko% Alle køkkener'!K71</f>
        <v>1397.923</v>
      </c>
      <c r="F37" s="59">
        <f>'Øko% Alle køkkener'!L71</f>
        <v>0</v>
      </c>
      <c r="G37" s="59">
        <f>'Øko% Alle køkkener'!M71</f>
        <v>0</v>
      </c>
      <c r="H37" s="59">
        <f>'Øko% Alle køkkener'!N71</f>
        <v>303.52</v>
      </c>
      <c r="I37" s="59">
        <f>'Øko% Alle køkkener'!O71</f>
        <v>1397.923</v>
      </c>
      <c r="J37" s="59">
        <f>'Øko% Alle køkkener'!P71</f>
        <v>0</v>
      </c>
      <c r="K37" s="59">
        <f>'Øko% Alle køkkener'!Q71</f>
        <v>0</v>
      </c>
      <c r="L37" s="59">
        <f>'Øko% Alle køkkener'!R71</f>
        <v>0</v>
      </c>
      <c r="M37" s="59">
        <f>'Øko% Alle køkkener'!S71</f>
        <v>0</v>
      </c>
      <c r="N37" s="59">
        <f>'Øko% Alle køkkener'!T71</f>
        <v>0</v>
      </c>
      <c r="O37" s="59">
        <f>'Øko% Alle køkkener'!U71</f>
        <v>0</v>
      </c>
    </row>
    <row r="38" spans="1:15" x14ac:dyDescent="0.25">
      <c r="A38" s="58" t="str">
        <f>'Øko% Alle køkkener'!A72</f>
        <v>Lillevang - Rosenhaven</v>
      </c>
      <c r="B38" s="60">
        <f>+VLOOKUP(A38,'Øko% Alle køkkener'!$A$5:$H$114,3,FALSE)</f>
        <v>0</v>
      </c>
      <c r="C38" s="59">
        <f>'Øko% Alle køkkener'!I72</f>
        <v>44.309731697899828</v>
      </c>
      <c r="D38" s="59">
        <f>'Øko% Alle køkkener'!J72</f>
        <v>469.36900000000003</v>
      </c>
      <c r="E38" s="59">
        <f>'Øko% Alle køkkener'!K72</f>
        <v>1059.2909999999999</v>
      </c>
      <c r="F38" s="59">
        <f>'Øko% Alle køkkener'!L72</f>
        <v>0</v>
      </c>
      <c r="G38" s="59">
        <f>'Øko% Alle køkkener'!M72</f>
        <v>0</v>
      </c>
      <c r="H38" s="59">
        <f>'Øko% Alle køkkener'!N72</f>
        <v>469.36900000000003</v>
      </c>
      <c r="I38" s="59">
        <f>'Øko% Alle køkkener'!O72</f>
        <v>1059.2909999999999</v>
      </c>
      <c r="J38" s="59">
        <f>'Øko% Alle køkkener'!P72</f>
        <v>0</v>
      </c>
      <c r="K38" s="59">
        <f>'Øko% Alle køkkener'!Q72</f>
        <v>0</v>
      </c>
      <c r="L38" s="59">
        <f>'Øko% Alle køkkener'!R72</f>
        <v>0</v>
      </c>
      <c r="M38" s="59">
        <f>'Øko% Alle køkkener'!S72</f>
        <v>0</v>
      </c>
      <c r="N38" s="59">
        <f>'Øko% Alle køkkener'!T72</f>
        <v>0</v>
      </c>
      <c r="O38" s="59">
        <f>'Øko% Alle køkkener'!U72</f>
        <v>0</v>
      </c>
    </row>
    <row r="39" spans="1:15" x14ac:dyDescent="0.25">
      <c r="A39" s="58" t="str">
        <f>'Øko% Alle køkkener'!A74</f>
        <v>Lyngholmskolen, kantinen</v>
      </c>
      <c r="B39" s="60">
        <f>+VLOOKUP(A39,'Øko% Alle køkkener'!$A$5:$H$114,3,FALSE)</f>
        <v>0</v>
      </c>
      <c r="C39" s="59">
        <f>'Øko% Alle køkkener'!I74</f>
        <v>71.516172009148136</v>
      </c>
      <c r="D39" s="59">
        <f>'Øko% Alle køkkener'!J74</f>
        <v>687.63299999999992</v>
      </c>
      <c r="E39" s="59">
        <f>'Øko% Alle køkkener'!K74</f>
        <v>961.50699999999995</v>
      </c>
      <c r="F39" s="59">
        <f>'Øko% Alle køkkener'!L74</f>
        <v>0</v>
      </c>
      <c r="G39" s="59">
        <f>'Øko% Alle køkkener'!M74</f>
        <v>0</v>
      </c>
      <c r="H39" s="59">
        <f>'Øko% Alle køkkener'!N74</f>
        <v>659.95899999999995</v>
      </c>
      <c r="I39" s="59">
        <f>'Øko% Alle køkkener'!O74</f>
        <v>933.83299999999997</v>
      </c>
      <c r="J39" s="59">
        <f>'Øko% Alle køkkener'!P74</f>
        <v>0</v>
      </c>
      <c r="K39" s="59">
        <f>'Øko% Alle køkkener'!Q74</f>
        <v>0</v>
      </c>
      <c r="L39" s="59">
        <f>'Øko% Alle køkkener'!R74</f>
        <v>27.673999999999999</v>
      </c>
      <c r="M39" s="59">
        <f>'Øko% Alle køkkener'!S74</f>
        <v>27.673999999999999</v>
      </c>
      <c r="N39" s="59">
        <f>'Øko% Alle køkkener'!T74</f>
        <v>0</v>
      </c>
      <c r="O39" s="59">
        <f>'Øko% Alle køkkener'!U74</f>
        <v>0</v>
      </c>
    </row>
    <row r="40" spans="1:15" x14ac:dyDescent="0.25">
      <c r="A40" s="58" t="str">
        <f>'Øko% Alle køkkener'!A77</f>
        <v>Lynghuset</v>
      </c>
      <c r="B40" s="60">
        <f>+VLOOKUP(A40,'Øko% Alle køkkener'!$A$5:$H$114,3,FALSE)</f>
        <v>1043650</v>
      </c>
      <c r="C40" s="59">
        <f>'Øko% Alle køkkener'!I77</f>
        <v>81.349474479848141</v>
      </c>
      <c r="D40" s="59">
        <f>'Øko% Alle køkkener'!J77</f>
        <v>1136.5269999999998</v>
      </c>
      <c r="E40" s="59">
        <f>'Øko% Alle køkkener'!K77</f>
        <v>1397.0919999999999</v>
      </c>
      <c r="F40" s="59">
        <f>'Øko% Alle køkkener'!L77</f>
        <v>1040.3019999999999</v>
      </c>
      <c r="G40" s="59">
        <f>'Øko% Alle køkkener'!M77</f>
        <v>1278.1669999999999</v>
      </c>
      <c r="H40" s="59" t="str">
        <f>'Øko% Alle køkkener'!N77</f>
        <v>0</v>
      </c>
      <c r="I40" s="59" t="str">
        <f>'Øko% Alle køkkener'!O77</f>
        <v>0</v>
      </c>
      <c r="J40" s="59">
        <f>'Øko% Alle køkkener'!P77</f>
        <v>0</v>
      </c>
      <c r="K40" s="59">
        <f>'Øko% Alle køkkener'!Q77</f>
        <v>0</v>
      </c>
      <c r="L40" s="59">
        <f>'Øko% Alle køkkener'!R77</f>
        <v>0</v>
      </c>
      <c r="M40" s="59">
        <f>'Øko% Alle køkkener'!S77</f>
        <v>0</v>
      </c>
      <c r="N40" s="59">
        <f>'Øko% Alle køkkener'!T77</f>
        <v>96.224999999999994</v>
      </c>
      <c r="O40" s="59">
        <f>'Øko% Alle køkkener'!U77</f>
        <v>118.925</v>
      </c>
    </row>
    <row r="41" spans="1:15" x14ac:dyDescent="0.25">
      <c r="A41" s="58" t="str">
        <f>'Øko% Alle køkkener'!A79</f>
        <v>Nordvænget Vuggestue</v>
      </c>
      <c r="B41" s="60">
        <f>+VLOOKUP(A41,'Øko% Alle køkkener'!$A$5:$H$114,3,FALSE)</f>
        <v>0</v>
      </c>
      <c r="C41" s="59">
        <f>'Øko% Alle køkkener'!I79</f>
        <v>99.951085474367844</v>
      </c>
      <c r="D41" s="59">
        <f>'Øko% Alle køkkener'!J79</f>
        <v>1260.7670000000001</v>
      </c>
      <c r="E41" s="59">
        <f>'Øko% Alle køkkener'!K79</f>
        <v>1261.384</v>
      </c>
      <c r="F41" s="59">
        <f>'Øko% Alle køkkener'!L79</f>
        <v>0</v>
      </c>
      <c r="G41" s="59">
        <f>'Øko% Alle køkkener'!M79</f>
        <v>0</v>
      </c>
      <c r="H41" s="59">
        <f>'Øko% Alle køkkener'!N79</f>
        <v>1245.7670000000001</v>
      </c>
      <c r="I41" s="59">
        <f>'Øko% Alle køkkener'!O79</f>
        <v>1246.384</v>
      </c>
      <c r="J41" s="59">
        <f>'Øko% Alle køkkener'!P79</f>
        <v>0</v>
      </c>
      <c r="K41" s="59">
        <f>'Øko% Alle køkkener'!Q79</f>
        <v>0</v>
      </c>
      <c r="L41" s="59">
        <f>'Øko% Alle køkkener'!R79</f>
        <v>15</v>
      </c>
      <c r="M41" s="59">
        <f>'Øko% Alle køkkener'!S79</f>
        <v>15</v>
      </c>
      <c r="N41" s="59">
        <f>'Øko% Alle køkkener'!T79</f>
        <v>0</v>
      </c>
      <c r="O41" s="59">
        <f>'Øko% Alle køkkener'!U79</f>
        <v>0</v>
      </c>
    </row>
    <row r="42" spans="1:15" x14ac:dyDescent="0.25">
      <c r="A42" s="58" t="str">
        <f>'Øko% Alle køkkener'!A80</f>
        <v>Paletten (Valhalla)</v>
      </c>
      <c r="B42" s="60">
        <f>+VLOOKUP(A42,'Øko% Alle køkkener'!$A$5:$H$114,3,FALSE)</f>
        <v>0</v>
      </c>
      <c r="C42" s="59">
        <f>'Øko% Alle køkkener'!I80</f>
        <v>91.5690917750116</v>
      </c>
      <c r="D42" s="59">
        <f>'Øko% Alle køkkener'!J80</f>
        <v>1799.6329999999998</v>
      </c>
      <c r="E42" s="59">
        <f>'Øko% Alle køkkener'!K80</f>
        <v>1965.328</v>
      </c>
      <c r="F42" s="59">
        <f>'Øko% Alle køkkener'!L80</f>
        <v>0</v>
      </c>
      <c r="G42" s="59">
        <f>'Øko% Alle køkkener'!M80</f>
        <v>0</v>
      </c>
      <c r="H42" s="59">
        <f>'Øko% Alle køkkener'!N80</f>
        <v>1789.2729999999999</v>
      </c>
      <c r="I42" s="59">
        <f>'Øko% Alle køkkener'!O80</f>
        <v>1954.9680000000001</v>
      </c>
      <c r="J42" s="59">
        <f>'Øko% Alle køkkener'!P80</f>
        <v>0</v>
      </c>
      <c r="K42" s="59">
        <f>'Øko% Alle køkkener'!Q80</f>
        <v>0</v>
      </c>
      <c r="L42" s="59">
        <f>'Øko% Alle køkkener'!R80</f>
        <v>10.36</v>
      </c>
      <c r="M42" s="59">
        <f>'Øko% Alle køkkener'!S80</f>
        <v>10.36</v>
      </c>
      <c r="N42" s="59">
        <f>'Øko% Alle køkkener'!T80</f>
        <v>0</v>
      </c>
      <c r="O42" s="59">
        <f>'Øko% Alle køkkener'!U80</f>
        <v>0</v>
      </c>
    </row>
    <row r="43" spans="1:15" x14ac:dyDescent="0.25">
      <c r="A43" s="58" t="str">
        <f>'Øko% Alle køkkener'!A81</f>
        <v>Plejecenteret Solbjerghaven</v>
      </c>
      <c r="B43" s="60">
        <f>+VLOOKUP(A43,'Øko% Alle køkkener'!$A$5:$H$114,3,FALSE)</f>
        <v>2174467</v>
      </c>
      <c r="C43" s="59">
        <f>'Øko% Alle køkkener'!I81</f>
        <v>39.088335189463827</v>
      </c>
      <c r="D43" s="58">
        <f>'Øko% Alle køkkener'!J81</f>
        <v>352.73900000000003</v>
      </c>
      <c r="E43" s="58">
        <f>'Øko% Alle køkkener'!K81</f>
        <v>902.41500000000008</v>
      </c>
      <c r="F43" s="58">
        <f>'Øko% Alle køkkener'!L81</f>
        <v>327.13900000000001</v>
      </c>
      <c r="G43" s="58">
        <f>'Øko% Alle køkkener'!M81</f>
        <v>876.81500000000005</v>
      </c>
      <c r="H43" s="58" t="str">
        <f>'Øko% Alle køkkener'!N81</f>
        <v>0</v>
      </c>
      <c r="I43" s="58" t="str">
        <f>'Øko% Alle køkkener'!O81</f>
        <v>0</v>
      </c>
      <c r="J43" s="58">
        <f>'Øko% Alle køkkener'!P81</f>
        <v>0</v>
      </c>
      <c r="K43" s="58">
        <f>'Øko% Alle køkkener'!Q81</f>
        <v>0</v>
      </c>
      <c r="L43" s="58">
        <f>'Øko% Alle køkkener'!R81</f>
        <v>25.6</v>
      </c>
      <c r="M43" s="58">
        <f>'Øko% Alle køkkener'!S81</f>
        <v>25.6</v>
      </c>
      <c r="N43" s="58">
        <f>'Øko% Alle køkkener'!T81</f>
        <v>0</v>
      </c>
      <c r="O43" s="58">
        <f>'Øko% Alle køkkener'!U81</f>
        <v>0</v>
      </c>
    </row>
    <row r="44" spans="1:15" x14ac:dyDescent="0.25">
      <c r="A44" s="58" t="str">
        <f>'Øko% Alle køkkener'!A82</f>
        <v>Ryet Børnehus</v>
      </c>
      <c r="B44" s="60">
        <f>+VLOOKUP(A44,'Øko% Alle køkkener'!$A$5:$H$114,3,FALSE)</f>
        <v>2163076</v>
      </c>
      <c r="C44" s="59">
        <f>'Øko% Alle køkkener'!I82</f>
        <v>95.782349078514699</v>
      </c>
      <c r="D44" s="59">
        <f>'Øko% Alle køkkener'!J82</f>
        <v>749.74400000000003</v>
      </c>
      <c r="E44" s="59">
        <f>'Øko% Alle køkkener'!K82</f>
        <v>782.75800000000004</v>
      </c>
      <c r="F44" s="59">
        <f>'Øko% Alle køkkener'!L82</f>
        <v>208.91900000000001</v>
      </c>
      <c r="G44" s="59">
        <f>'Øko% Alle køkkener'!M82</f>
        <v>219.589</v>
      </c>
      <c r="H44" s="59">
        <f>'Øko% Alle køkkener'!N82</f>
        <v>534.82500000000005</v>
      </c>
      <c r="I44" s="59">
        <f>'Øko% Alle køkkener'!O82</f>
        <v>557.16899999999998</v>
      </c>
      <c r="J44" s="59">
        <f>'Øko% Alle køkkener'!P82</f>
        <v>0</v>
      </c>
      <c r="K44" s="59">
        <f>'Øko% Alle køkkener'!Q82</f>
        <v>0</v>
      </c>
      <c r="L44" s="59">
        <f>'Øko% Alle køkkener'!R82</f>
        <v>6</v>
      </c>
      <c r="M44" s="59">
        <f>'Øko% Alle køkkener'!S82</f>
        <v>6</v>
      </c>
      <c r="N44" s="59">
        <f>'Øko% Alle køkkener'!T82</f>
        <v>0</v>
      </c>
      <c r="O44" s="59">
        <f>'Øko% Alle køkkener'!U82</f>
        <v>0</v>
      </c>
    </row>
    <row r="45" spans="1:15" x14ac:dyDescent="0.25">
      <c r="A45" s="58" t="str">
        <f>'Øko% Alle køkkener'!A85</f>
        <v>Rådhuset Furesø Kommune + frugtordning</v>
      </c>
      <c r="B45" s="60">
        <f>+VLOOKUP(A45,'Øko% Alle køkkener'!$A$5:$H$114,3,FALSE)</f>
        <v>0</v>
      </c>
      <c r="C45" s="59">
        <f>'Øko% Alle køkkener'!I85</f>
        <v>77.178859048987349</v>
      </c>
      <c r="D45" s="58">
        <f>'Øko% Alle køkkener'!J85</f>
        <v>8916.32</v>
      </c>
      <c r="E45" s="58">
        <f>'Øko% Alle køkkener'!K85</f>
        <v>11552.800999999999</v>
      </c>
      <c r="F45" s="58">
        <f>'Øko% Alle køkkener'!L85</f>
        <v>0</v>
      </c>
      <c r="G45" s="58">
        <f>'Øko% Alle køkkener'!M85</f>
        <v>0</v>
      </c>
      <c r="H45" s="58">
        <f>'Øko% Alle køkkener'!N85</f>
        <v>8512.1119999999992</v>
      </c>
      <c r="I45" s="58">
        <f>'Øko% Alle køkkener'!O85</f>
        <v>10530.666999999999</v>
      </c>
      <c r="J45" s="58">
        <f>'Øko% Alle køkkener'!P85</f>
        <v>0</v>
      </c>
      <c r="K45" s="58">
        <f>'Øko% Alle køkkener'!Q85</f>
        <v>427.85399999999998</v>
      </c>
      <c r="L45" s="58">
        <f>'Øko% Alle køkkener'!R85</f>
        <v>404.20800000000003</v>
      </c>
      <c r="M45" s="58">
        <f>'Øko% Alle køkkener'!S85</f>
        <v>594.28</v>
      </c>
      <c r="N45" s="58">
        <f>'Øko% Alle køkkener'!T85</f>
        <v>0</v>
      </c>
      <c r="O45" s="58">
        <f>'Øko% Alle køkkener'!U85</f>
        <v>0</v>
      </c>
    </row>
    <row r="46" spans="1:15" x14ac:dyDescent="0.25">
      <c r="A46" s="58" t="str">
        <f>'Øko% Alle køkkener'!A88</f>
        <v>Skovgården</v>
      </c>
      <c r="B46" s="60">
        <f>+VLOOKUP(A46,'Øko% Alle køkkener'!$A$5:$H$114,3,FALSE)</f>
        <v>0</v>
      </c>
      <c r="C46" s="59">
        <f>'Øko% Alle køkkener'!I88</f>
        <v>56.555227355596664</v>
      </c>
      <c r="D46" s="59">
        <f>'Øko% Alle køkkener'!J88</f>
        <v>1014.3869999999999</v>
      </c>
      <c r="E46" s="59">
        <f>'Øko% Alle køkkener'!K88</f>
        <v>1793.6220000000001</v>
      </c>
      <c r="F46" s="59">
        <f>'Øko% Alle køkkener'!L88</f>
        <v>0</v>
      </c>
      <c r="G46" s="59">
        <f>'Øko% Alle køkkener'!M88</f>
        <v>0</v>
      </c>
      <c r="H46" s="59">
        <f>'Øko% Alle køkkener'!N88</f>
        <v>1014.3869999999999</v>
      </c>
      <c r="I46" s="59">
        <f>'Øko% Alle køkkener'!O88</f>
        <v>1793.6220000000001</v>
      </c>
      <c r="J46" s="59">
        <f>'Øko% Alle køkkener'!P88</f>
        <v>0</v>
      </c>
      <c r="K46" s="59">
        <f>'Øko% Alle køkkener'!Q88</f>
        <v>0</v>
      </c>
      <c r="L46" s="59">
        <f>'Øko% Alle køkkener'!R88</f>
        <v>0</v>
      </c>
      <c r="M46" s="59">
        <f>'Øko% Alle køkkener'!S88</f>
        <v>0</v>
      </c>
      <c r="N46" s="59">
        <f>'Øko% Alle køkkener'!T88</f>
        <v>0</v>
      </c>
      <c r="O46" s="59">
        <f>'Øko% Alle køkkener'!U88</f>
        <v>0</v>
      </c>
    </row>
    <row r="47" spans="1:15" x14ac:dyDescent="0.25">
      <c r="A47" s="58" t="str">
        <f>'Øko% Alle køkkener'!A90</f>
        <v>Solstrålen</v>
      </c>
      <c r="B47" s="60">
        <f>+VLOOKUP(A47,'Øko% Alle køkkener'!$A$5:$H$114,3,FALSE)</f>
        <v>0</v>
      </c>
      <c r="C47" s="59">
        <f>'Øko% Alle køkkener'!I90</f>
        <v>93.196987518435733</v>
      </c>
      <c r="D47" s="59">
        <f>'Øko% Alle køkkener'!J90</f>
        <v>1472.97</v>
      </c>
      <c r="E47" s="59">
        <f>'Øko% Alle køkkener'!K90</f>
        <v>1580.491</v>
      </c>
      <c r="F47" s="59">
        <f>'Øko% Alle køkkener'!L90</f>
        <v>0</v>
      </c>
      <c r="G47" s="59">
        <f>'Øko% Alle køkkener'!M90</f>
        <v>0</v>
      </c>
      <c r="H47" s="59">
        <f>'Øko% Alle køkkener'!N90</f>
        <v>1456.97</v>
      </c>
      <c r="I47" s="59">
        <f>'Øko% Alle køkkener'!O90</f>
        <v>1564.491</v>
      </c>
      <c r="J47" s="59">
        <f>'Øko% Alle køkkener'!P90</f>
        <v>0</v>
      </c>
      <c r="K47" s="59">
        <f>'Øko% Alle køkkener'!Q90</f>
        <v>0</v>
      </c>
      <c r="L47" s="59">
        <f>'Øko% Alle køkkener'!R90</f>
        <v>16</v>
      </c>
      <c r="M47" s="59">
        <f>'Øko% Alle køkkener'!S90</f>
        <v>16</v>
      </c>
      <c r="N47" s="59">
        <f>'Øko% Alle køkkener'!T90</f>
        <v>0</v>
      </c>
      <c r="O47" s="59">
        <f>'Øko% Alle køkkener'!U90</f>
        <v>0</v>
      </c>
    </row>
    <row r="48" spans="1:15" x14ac:dyDescent="0.25">
      <c r="A48" s="58" t="str">
        <f>'Øko% Alle køkkener'!A95</f>
        <v>Stavnsholt Børnehus, integr.</v>
      </c>
      <c r="B48" s="60">
        <f>+VLOOKUP(A48,'Øko% Alle køkkener'!$A$5:$H$114,3,FALSE)</f>
        <v>1232086</v>
      </c>
      <c r="C48" s="59">
        <f>'Øko% Alle køkkener'!I95</f>
        <v>92.163513329195069</v>
      </c>
      <c r="D48" s="58">
        <f>'Øko% Alle køkkener'!J95</f>
        <v>2648.7719999999999</v>
      </c>
      <c r="E48" s="58">
        <f>'Øko% Alle køkkener'!K95</f>
        <v>2873.9920000000002</v>
      </c>
      <c r="F48" s="58">
        <f>'Øko% Alle køkkener'!L95</f>
        <v>0.18</v>
      </c>
      <c r="G48" s="58">
        <f>'Øko% Alle køkkener'!M95</f>
        <v>2.1520000000000001</v>
      </c>
      <c r="H48" s="58" t="str">
        <f>'Øko% Alle køkkener'!N59</f>
        <v>0</v>
      </c>
      <c r="I48" s="58" t="str">
        <f>'Øko% Alle køkkener'!O59</f>
        <v>0</v>
      </c>
      <c r="J48" s="58">
        <f>'Øko% Alle køkkener'!P59</f>
        <v>0</v>
      </c>
      <c r="K48" s="58">
        <f>'Øko% Alle køkkener'!Q59</f>
        <v>0</v>
      </c>
      <c r="L48" s="58">
        <f>'Øko% Alle køkkener'!R59</f>
        <v>0</v>
      </c>
      <c r="M48" s="58">
        <f>'Øko% Alle køkkener'!S59</f>
        <v>0</v>
      </c>
      <c r="N48" s="58">
        <f>'Øko% Alle køkkener'!T59</f>
        <v>0</v>
      </c>
      <c r="O48" s="58">
        <f>'Øko% Alle køkkener'!U59</f>
        <v>0</v>
      </c>
    </row>
    <row r="49" spans="1:16" x14ac:dyDescent="0.25">
      <c r="A49" s="58" t="str">
        <f>'Øko% Alle køkkener'!A97</f>
        <v>Stavnsholtskolen, kantinen. Har skolehaver</v>
      </c>
      <c r="B49" s="60">
        <f>+VLOOKUP(A49,'Øko% Alle køkkener'!$A$5:$H$114,3,FALSE)</f>
        <v>0</v>
      </c>
      <c r="C49" s="59">
        <f>'Øko% Alle køkkener'!I97</f>
        <v>87.233490057281443</v>
      </c>
      <c r="D49" s="59">
        <f>'Øko% Alle køkkener'!J97</f>
        <v>853.27700000000004</v>
      </c>
      <c r="E49" s="59">
        <f>'Øko% Alle køkkener'!K97</f>
        <v>978.15300000000002</v>
      </c>
      <c r="F49" s="59">
        <f>'Øko% Alle køkkener'!L97</f>
        <v>0</v>
      </c>
      <c r="G49" s="59">
        <f>'Øko% Alle køkkener'!M97</f>
        <v>0</v>
      </c>
      <c r="H49" s="59">
        <f>'Øko% Alle køkkener'!N97</f>
        <v>789.27700000000004</v>
      </c>
      <c r="I49" s="59">
        <f>'Øko% Alle køkkener'!O97</f>
        <v>864.15300000000002</v>
      </c>
      <c r="J49" s="59">
        <f>'Øko% Alle køkkener'!P97</f>
        <v>0</v>
      </c>
      <c r="K49" s="59">
        <f>'Øko% Alle køkkener'!Q97</f>
        <v>0</v>
      </c>
      <c r="L49" s="59">
        <f>'Øko% Alle køkkener'!R97</f>
        <v>64</v>
      </c>
      <c r="M49" s="59">
        <f>'Øko% Alle køkkener'!S97</f>
        <v>114</v>
      </c>
      <c r="N49" s="59">
        <f>'Øko% Alle køkkener'!T97</f>
        <v>0</v>
      </c>
      <c r="O49" s="59">
        <f>'Øko% Alle køkkener'!U97</f>
        <v>0</v>
      </c>
    </row>
    <row r="50" spans="1:16" x14ac:dyDescent="0.25">
      <c r="A50" s="58" t="str">
        <f>'Øko% Alle køkkener'!A100</f>
        <v>Svanepunktet Plejecenter, Svane</v>
      </c>
      <c r="B50" s="60">
        <f>+VLOOKUP(A50,'Øko% Alle køkkener'!$A$5:$H$114,3,FALSE)</f>
        <v>0</v>
      </c>
      <c r="C50" s="59">
        <f>'Øko% Alle køkkener'!I100</f>
        <v>61.820624713199614</v>
      </c>
      <c r="D50" s="59">
        <f>'Øko% Alle køkkener'!J100</f>
        <v>1459.0229999999999</v>
      </c>
      <c r="E50" s="59">
        <f>'Øko% Alle køkkener'!K100</f>
        <v>2360.0909999999999</v>
      </c>
      <c r="F50" s="59">
        <f>'Øko% Alle køkkener'!L100</f>
        <v>0</v>
      </c>
      <c r="G50" s="59">
        <f>'Øko% Alle køkkener'!M100</f>
        <v>0</v>
      </c>
      <c r="H50" s="59">
        <f>'Øko% Alle køkkener'!N100</f>
        <v>1399.0229999999999</v>
      </c>
      <c r="I50" s="59">
        <f>'Øko% Alle køkkener'!O100</f>
        <v>2300.0909999999999</v>
      </c>
      <c r="J50" s="59">
        <f>'Øko% Alle køkkener'!P100</f>
        <v>0</v>
      </c>
      <c r="K50" s="59">
        <f>'Øko% Alle køkkener'!Q100</f>
        <v>0</v>
      </c>
      <c r="L50" s="59">
        <f>'Øko% Alle køkkener'!R100</f>
        <v>60</v>
      </c>
      <c r="M50" s="59">
        <f>'Øko% Alle køkkener'!S100</f>
        <v>60</v>
      </c>
      <c r="N50" s="59">
        <f>'Øko% Alle køkkener'!T100</f>
        <v>0</v>
      </c>
      <c r="O50" s="59">
        <f>'Øko% Alle køkkener'!U100</f>
        <v>0</v>
      </c>
    </row>
    <row r="51" spans="1:16" x14ac:dyDescent="0.25">
      <c r="A51" s="58" t="str">
        <f>'Øko% Alle køkkener'!A102</f>
        <v>Svanepunktet, Rehab</v>
      </c>
      <c r="B51" s="60">
        <f>+VLOOKUP(A51,'Øko% Alle køkkener'!$A$5:$H$114,3,FALSE)</f>
        <v>0</v>
      </c>
      <c r="C51" s="59">
        <f>'Øko% Alle køkkener'!I102</f>
        <v>61.295170002926305</v>
      </c>
      <c r="D51" s="59">
        <f>'Øko% Alle køkkener'!J102</f>
        <v>1395.018</v>
      </c>
      <c r="E51" s="59">
        <f>'Øko% Alle køkkener'!K102</f>
        <v>2275.902</v>
      </c>
      <c r="F51" s="59">
        <f>'Øko% Alle køkkener'!L102</f>
        <v>0</v>
      </c>
      <c r="G51" s="59">
        <f>'Øko% Alle køkkener'!M102</f>
        <v>0</v>
      </c>
      <c r="H51" s="59">
        <f>'Øko% Alle køkkener'!N102</f>
        <v>1363.018</v>
      </c>
      <c r="I51" s="59">
        <f>'Øko% Alle køkkener'!O102</f>
        <v>2230.462</v>
      </c>
      <c r="J51" s="59">
        <f>'Øko% Alle køkkener'!P102</f>
        <v>0</v>
      </c>
      <c r="K51" s="59">
        <f>'Øko% Alle køkkener'!Q102</f>
        <v>0</v>
      </c>
      <c r="L51" s="59">
        <f>'Øko% Alle køkkener'!R102</f>
        <v>32</v>
      </c>
      <c r="M51" s="59">
        <f>'Øko% Alle køkkener'!S102</f>
        <v>45.44</v>
      </c>
      <c r="N51" s="59">
        <f>'Øko% Alle køkkener'!T102</f>
        <v>0</v>
      </c>
      <c r="O51" s="59">
        <f>'Øko% Alle køkkener'!U102</f>
        <v>0</v>
      </c>
    </row>
    <row r="52" spans="1:16" x14ac:dyDescent="0.25">
      <c r="A52" s="58" t="str">
        <f>'Øko% Alle køkkener'!A103</f>
        <v>Syvstjerneklubben &amp; kantine</v>
      </c>
      <c r="B52" s="60">
        <f>+VLOOKUP(A52,'Øko% Alle køkkener'!$A$5:$H$114,3,FALSE)</f>
        <v>0</v>
      </c>
      <c r="C52" s="59">
        <f>'Øko% Alle køkkener'!I103</f>
        <v>65.73285065486742</v>
      </c>
      <c r="D52" s="58">
        <f>'Øko% Alle køkkener'!J103</f>
        <v>877.38499999999999</v>
      </c>
      <c r="E52" s="58">
        <f>'Øko% Alle køkkener'!K103</f>
        <v>1334.7739999999999</v>
      </c>
      <c r="F52" s="58">
        <f>'Øko% Alle køkkener'!L103</f>
        <v>0</v>
      </c>
      <c r="G52" s="58">
        <f>'Øko% Alle køkkener'!M103</f>
        <v>0</v>
      </c>
      <c r="H52" s="58">
        <f>'Øko% Alle køkkener'!N103</f>
        <v>853.38499999999999</v>
      </c>
      <c r="I52" s="58">
        <f>'Øko% Alle køkkener'!O103</f>
        <v>1310.7739999999999</v>
      </c>
      <c r="J52" s="58">
        <f>'Øko% Alle køkkener'!P103</f>
        <v>0</v>
      </c>
      <c r="K52" s="58">
        <f>'Øko% Alle køkkener'!Q103</f>
        <v>0</v>
      </c>
      <c r="L52" s="58">
        <f>'Øko% Alle køkkener'!R103</f>
        <v>24</v>
      </c>
      <c r="M52" s="58">
        <f>'Øko% Alle køkkener'!S103</f>
        <v>24</v>
      </c>
      <c r="N52" s="58">
        <f>'Øko% Alle køkkener'!T103</f>
        <v>0</v>
      </c>
      <c r="O52" s="58">
        <f>'Øko% Alle køkkener'!U103</f>
        <v>0</v>
      </c>
    </row>
    <row r="53" spans="1:16" x14ac:dyDescent="0.25">
      <c r="A53" s="58" t="str">
        <f>'Øko% Alle køkkener'!A109</f>
        <v>Søndersø FFO 2, Solbjerggaard</v>
      </c>
      <c r="B53" s="60">
        <f>+VLOOKUP(A53,'Øko% Alle køkkener'!$A$5:$H$114,3,FALSE)</f>
        <v>2167011</v>
      </c>
      <c r="C53" s="59">
        <f>'Øko% Alle køkkener'!I109</f>
        <v>5.113134134650049</v>
      </c>
      <c r="D53" s="59">
        <f>'Øko% Alle køkkener'!J109</f>
        <v>76.587999999999994</v>
      </c>
      <c r="E53" s="59">
        <f>'Øko% Alle køkkener'!K109</f>
        <v>1497.8679999999999</v>
      </c>
      <c r="F53" s="59">
        <f>'Øko% Alle køkkener'!L109</f>
        <v>76.587999999999994</v>
      </c>
      <c r="G53" s="59">
        <f>'Øko% Alle køkkener'!M109</f>
        <v>1497.8679999999999</v>
      </c>
      <c r="H53" s="59">
        <f>'Øko% Alle køkkener'!N109</f>
        <v>0</v>
      </c>
      <c r="I53" s="59">
        <f>'Øko% Alle køkkener'!O109</f>
        <v>0</v>
      </c>
      <c r="J53" s="59">
        <f>'Øko% Alle køkkener'!P109</f>
        <v>0</v>
      </c>
      <c r="K53" s="59">
        <f>'Øko% Alle køkkener'!Q109</f>
        <v>0</v>
      </c>
      <c r="L53" s="59">
        <f>'Øko% Alle køkkener'!R109</f>
        <v>0</v>
      </c>
      <c r="M53" s="59">
        <f>'Øko% Alle køkkener'!S109</f>
        <v>0</v>
      </c>
      <c r="N53" s="59">
        <f>'Øko% Alle køkkener'!T109</f>
        <v>0</v>
      </c>
      <c r="O53" s="59">
        <f>'Øko% Alle køkkener'!U109</f>
        <v>0</v>
      </c>
    </row>
    <row r="54" spans="1:16" x14ac:dyDescent="0.25">
      <c r="A54" s="58" t="str">
        <f>'Øko% Alle køkkener'!A113</f>
        <v>Værløse Svømmehal</v>
      </c>
      <c r="B54" s="60">
        <f>+VLOOKUP(A54,'Øko% Alle køkkener'!$A$5:$H$114,3,FALSE)</f>
        <v>0</v>
      </c>
      <c r="C54" s="59">
        <f>'Øko% Alle køkkener'!I113</f>
        <v>49.076669251456018</v>
      </c>
      <c r="D54" s="58">
        <f>'Øko% Alle køkkener'!J113</f>
        <v>1487.2930000000001</v>
      </c>
      <c r="E54" s="58">
        <f>'Øko% Alle køkkener'!K113</f>
        <v>3030.5499999999997</v>
      </c>
      <c r="F54" s="58">
        <f>'Øko% Alle køkkener'!L113</f>
        <v>0</v>
      </c>
      <c r="G54" s="58">
        <f>'Øko% Alle køkkener'!M113</f>
        <v>0</v>
      </c>
      <c r="H54" s="58">
        <f>'Øko% Alle køkkener'!N33</f>
        <v>665.59500000000003</v>
      </c>
      <c r="I54" s="58">
        <f>'Øko% Alle køkkener'!O33</f>
        <v>756.38400000000001</v>
      </c>
      <c r="J54" s="58">
        <f>'Øko% Alle køkkener'!P113</f>
        <v>0</v>
      </c>
      <c r="K54" s="58">
        <f>'Øko% Alle køkkener'!Q113</f>
        <v>0</v>
      </c>
      <c r="L54" s="58">
        <f>'Øko% Alle køkkener'!R113</f>
        <v>61</v>
      </c>
      <c r="M54" s="58">
        <f>'Øko% Alle køkkener'!S113</f>
        <v>85.778000000000006</v>
      </c>
      <c r="N54" s="58">
        <f>'Øko% Alle køkkener'!T113</f>
        <v>41.24</v>
      </c>
      <c r="O54" s="58">
        <f>'Øko% Alle køkkener'!U113</f>
        <v>380.58</v>
      </c>
    </row>
    <row r="55" spans="1:16" ht="15.75" thickBot="1" x14ac:dyDescent="0.3">
      <c r="A55" s="58" t="str">
        <f>'Øko% Alle køkkener'!A114</f>
        <v>Åkanden</v>
      </c>
      <c r="B55" s="60">
        <f>+VLOOKUP(A55,'Øko% Alle køkkener'!$A$5:$H$114,3,FALSE)</f>
        <v>0</v>
      </c>
      <c r="C55" s="59">
        <f>'Øko% Alle køkkener'!I114</f>
        <v>96.209282171086898</v>
      </c>
      <c r="D55" s="58">
        <f>'Øko% Alle køkkener'!J114</f>
        <v>1619.69</v>
      </c>
      <c r="E55" s="58">
        <f>'Øko% Alle køkkener'!K114</f>
        <v>1683.5070000000001</v>
      </c>
      <c r="F55" s="58">
        <f>'Øko% Alle køkkener'!L114</f>
        <v>0</v>
      </c>
      <c r="G55" s="58">
        <f>'Øko% Alle køkkener'!M114</f>
        <v>0</v>
      </c>
      <c r="H55" s="58">
        <f>'Øko% Alle køkkener'!N114</f>
        <v>1609.89</v>
      </c>
      <c r="I55" s="58">
        <f>'Øko% Alle køkkener'!O114</f>
        <v>1673.7070000000001</v>
      </c>
      <c r="J55" s="58">
        <f>'Øko% Alle køkkener'!P114</f>
        <v>0</v>
      </c>
      <c r="K55" s="58">
        <f>'Øko% Alle køkkener'!Q114</f>
        <v>0</v>
      </c>
      <c r="L55" s="58">
        <f>'Øko% Alle køkkener'!R114</f>
        <v>9.8000000000000007</v>
      </c>
      <c r="M55" s="58">
        <f>'Øko% Alle køkkener'!S114</f>
        <v>9.8000000000000007</v>
      </c>
      <c r="N55" s="58">
        <f>'Øko% Alle køkkener'!T114</f>
        <v>0</v>
      </c>
      <c r="O55" s="58">
        <f>'Øko% Alle køkkener'!U114</f>
        <v>0</v>
      </c>
    </row>
    <row r="56" spans="1:16" ht="17.25" thickTop="1" thickBot="1" x14ac:dyDescent="0.3">
      <c r="A56" s="57" t="s">
        <v>60</v>
      </c>
      <c r="B56" s="57"/>
      <c r="C56" s="56">
        <f>(D56*100)/E56</f>
        <v>71.843704875216631</v>
      </c>
      <c r="D56" s="53">
        <f>F56+H56+J56+L56+N56</f>
        <v>72956.537999999986</v>
      </c>
      <c r="E56" s="53">
        <f>G56+I56+K56+M56+O56</f>
        <v>101548.96400000001</v>
      </c>
      <c r="F56" s="55">
        <f>SUM(F5:F55)</f>
        <v>2895.8739999999998</v>
      </c>
      <c r="G56" s="53">
        <f t="shared" ref="G56:O56" si="0">SUM(G5:G55)</f>
        <v>6817.1059999999998</v>
      </c>
      <c r="H56" s="53">
        <f t="shared" si="0"/>
        <v>68600.992999999988</v>
      </c>
      <c r="I56" s="53">
        <f t="shared" si="0"/>
        <v>92113.848999999987</v>
      </c>
      <c r="J56" s="54">
        <f t="shared" si="0"/>
        <v>0</v>
      </c>
      <c r="K56" s="54">
        <f t="shared" si="0"/>
        <v>427.85399999999998</v>
      </c>
      <c r="L56" s="53">
        <f t="shared" si="0"/>
        <v>1319.576</v>
      </c>
      <c r="M56" s="53">
        <f t="shared" si="0"/>
        <v>1683.32</v>
      </c>
      <c r="N56" s="53">
        <f t="shared" si="0"/>
        <v>140.095</v>
      </c>
      <c r="O56" s="53">
        <f t="shared" si="0"/>
        <v>506.83499999999998</v>
      </c>
      <c r="P56" s="42"/>
    </row>
    <row r="57" spans="1:16" s="42" customFormat="1" x14ac:dyDescent="0.25">
      <c r="A57" s="47"/>
      <c r="B57" s="47"/>
      <c r="C57" s="51"/>
      <c r="D57" s="50"/>
      <c r="E57" s="50"/>
      <c r="F57" s="52"/>
      <c r="G57" s="52"/>
      <c r="H57" s="45"/>
      <c r="I57" s="45"/>
      <c r="J57" s="43"/>
      <c r="K57" s="43"/>
      <c r="L57" s="44"/>
      <c r="M57" s="3"/>
      <c r="N57" s="41"/>
      <c r="O57" s="41"/>
      <c r="P57" s="41"/>
    </row>
    <row r="58" spans="1:16" x14ac:dyDescent="0.25">
      <c r="A58" s="47"/>
      <c r="B58" s="47"/>
      <c r="C58" s="51"/>
      <c r="D58" s="50"/>
      <c r="E58" s="50"/>
      <c r="G58" s="45"/>
      <c r="J58" s="41"/>
      <c r="K58" s="42"/>
      <c r="N58" s="3"/>
      <c r="O58" s="3"/>
    </row>
    <row r="85" spans="4:4" x14ac:dyDescent="0.25">
      <c r="D85" s="48"/>
    </row>
    <row r="86" spans="4:4" x14ac:dyDescent="0.25">
      <c r="D86" s="81"/>
    </row>
  </sheetData>
  <autoFilter ref="A4:P56" xr:uid="{B83F36C6-1154-49C3-9441-A6713B4BA070}"/>
  <mergeCells count="6">
    <mergeCell ref="L3:M3"/>
    <mergeCell ref="N3:O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65B59-8FDD-4AFB-896C-461D3801CB4F}">
  <dimension ref="A2:D121"/>
  <sheetViews>
    <sheetView topLeftCell="A76" workbookViewId="0">
      <selection activeCell="A28" sqref="A28:XFD28"/>
    </sheetView>
  </sheetViews>
  <sheetFormatPr defaultRowHeight="15" x14ac:dyDescent="0.25"/>
  <cols>
    <col min="1" max="1" width="82.5703125" bestFit="1" customWidth="1"/>
    <col min="2" max="2" width="12.85546875" bestFit="1" customWidth="1"/>
    <col min="3" max="3" width="17.42578125" bestFit="1" customWidth="1"/>
    <col min="4" max="4" width="12.140625" bestFit="1" customWidth="1"/>
  </cols>
  <sheetData>
    <row r="2" spans="1:4" x14ac:dyDescent="0.25">
      <c r="A2" s="85" t="s">
        <v>170</v>
      </c>
      <c r="B2" t="s">
        <v>173</v>
      </c>
      <c r="C2" t="s">
        <v>172</v>
      </c>
      <c r="D2" t="s">
        <v>176</v>
      </c>
    </row>
    <row r="3" spans="1:4" x14ac:dyDescent="0.25">
      <c r="A3" s="86" t="s">
        <v>119</v>
      </c>
      <c r="B3" s="91">
        <v>44074.817999999999</v>
      </c>
      <c r="C3" s="91">
        <v>47743.027000000009</v>
      </c>
      <c r="D3" s="88">
        <v>0.92316764917314498</v>
      </c>
    </row>
    <row r="4" spans="1:4" x14ac:dyDescent="0.25">
      <c r="A4" s="87" t="s">
        <v>53</v>
      </c>
      <c r="B4" s="91">
        <v>1393.402</v>
      </c>
      <c r="C4" s="91">
        <v>1567.5830000000001</v>
      </c>
      <c r="D4" s="88">
        <v>0.88888562838458951</v>
      </c>
    </row>
    <row r="5" spans="1:4" x14ac:dyDescent="0.25">
      <c r="A5" s="87" t="s">
        <v>26</v>
      </c>
      <c r="B5" s="91">
        <v>833.60599999999999</v>
      </c>
      <c r="C5" s="91">
        <v>1050.8889999999999</v>
      </c>
      <c r="D5" s="88">
        <v>0.79323886728284343</v>
      </c>
    </row>
    <row r="6" spans="1:4" x14ac:dyDescent="0.25">
      <c r="A6" s="87" t="s">
        <v>3</v>
      </c>
      <c r="B6" s="91">
        <v>1272.7539999999999</v>
      </c>
      <c r="C6" s="91">
        <v>1590.761</v>
      </c>
      <c r="D6" s="88">
        <v>0.80009127706801964</v>
      </c>
    </row>
    <row r="7" spans="1:4" x14ac:dyDescent="0.25">
      <c r="A7" s="87" t="s">
        <v>13</v>
      </c>
      <c r="B7" s="91">
        <v>2769.9490000000001</v>
      </c>
      <c r="C7" s="91">
        <v>2777.085</v>
      </c>
      <c r="D7" s="88">
        <v>0.99743039914154596</v>
      </c>
    </row>
    <row r="8" spans="1:4" x14ac:dyDescent="0.25">
      <c r="A8" s="87" t="s">
        <v>20</v>
      </c>
      <c r="B8" s="91">
        <v>1906.884</v>
      </c>
      <c r="C8" s="91">
        <v>1908.884</v>
      </c>
      <c r="D8" s="88">
        <v>0.99895226739812371</v>
      </c>
    </row>
    <row r="9" spans="1:4" x14ac:dyDescent="0.25">
      <c r="A9" s="87" t="s">
        <v>101</v>
      </c>
      <c r="B9" s="91">
        <v>670.029</v>
      </c>
      <c r="C9" s="91">
        <v>680.05900000000008</v>
      </c>
      <c r="D9" s="88">
        <v>0.98525127966838155</v>
      </c>
    </row>
    <row r="10" spans="1:4" x14ac:dyDescent="0.25">
      <c r="A10" s="87" t="s">
        <v>102</v>
      </c>
      <c r="B10" s="91">
        <v>1613.5619999999999</v>
      </c>
      <c r="C10" s="91">
        <v>1673.2280000000001</v>
      </c>
      <c r="D10" s="88">
        <v>0.96434078320467975</v>
      </c>
    </row>
    <row r="11" spans="1:4" x14ac:dyDescent="0.25">
      <c r="A11" s="87" t="s">
        <v>46</v>
      </c>
      <c r="B11" s="91">
        <v>1099.24</v>
      </c>
      <c r="C11" s="91">
        <v>1165.182</v>
      </c>
      <c r="D11" s="88">
        <v>0.94340626614554635</v>
      </c>
    </row>
    <row r="12" spans="1:4" x14ac:dyDescent="0.25">
      <c r="A12" s="87" t="s">
        <v>97</v>
      </c>
      <c r="B12" s="91">
        <v>1371.683</v>
      </c>
      <c r="C12" s="91">
        <v>1422.7550000000001</v>
      </c>
      <c r="D12" s="88">
        <v>0.96410344718521457</v>
      </c>
    </row>
    <row r="13" spans="1:4" x14ac:dyDescent="0.25">
      <c r="A13" s="87" t="s">
        <v>79</v>
      </c>
      <c r="B13" s="91">
        <v>1048.2249999999999</v>
      </c>
      <c r="C13" s="91">
        <v>1152.0550000000001</v>
      </c>
      <c r="D13" s="88">
        <v>0.90987409455277735</v>
      </c>
    </row>
    <row r="14" spans="1:4" x14ac:dyDescent="0.25">
      <c r="A14" s="87" t="s">
        <v>4</v>
      </c>
      <c r="B14" s="91">
        <v>1808.154</v>
      </c>
      <c r="C14" s="91">
        <v>1819.5239999999999</v>
      </c>
      <c r="D14" s="88">
        <v>0.99375111292843632</v>
      </c>
    </row>
    <row r="15" spans="1:4" x14ac:dyDescent="0.25">
      <c r="A15" s="87" t="s">
        <v>5</v>
      </c>
      <c r="B15" s="91">
        <v>2579.9670000000001</v>
      </c>
      <c r="C15" s="91">
        <v>3250.6870000000004</v>
      </c>
      <c r="D15" s="88">
        <v>0.79366823074630066</v>
      </c>
    </row>
    <row r="16" spans="1:4" x14ac:dyDescent="0.25">
      <c r="A16" s="87" t="s">
        <v>55</v>
      </c>
      <c r="B16" s="91">
        <v>3183.63</v>
      </c>
      <c r="C16" s="91">
        <v>3299.0839999999998</v>
      </c>
      <c r="D16" s="88">
        <v>0.96500422541529718</v>
      </c>
    </row>
    <row r="17" spans="1:4" x14ac:dyDescent="0.25">
      <c r="A17" s="87" t="s">
        <v>6</v>
      </c>
      <c r="B17" s="91">
        <v>1613.4749999999999</v>
      </c>
      <c r="C17" s="91">
        <v>1614.4749999999999</v>
      </c>
      <c r="D17" s="88">
        <v>0.99938060360179004</v>
      </c>
    </row>
    <row r="18" spans="1:4" x14ac:dyDescent="0.25">
      <c r="A18" s="87" t="s">
        <v>34</v>
      </c>
      <c r="B18" s="91">
        <v>673.59500000000003</v>
      </c>
      <c r="C18" s="91">
        <v>764.38400000000001</v>
      </c>
      <c r="D18" s="88">
        <v>0.88122592832921676</v>
      </c>
    </row>
    <row r="19" spans="1:4" x14ac:dyDescent="0.25">
      <c r="A19" s="87" t="s">
        <v>7</v>
      </c>
      <c r="B19" s="91">
        <v>1967.624</v>
      </c>
      <c r="C19" s="91">
        <v>2134.8339999999998</v>
      </c>
      <c r="D19" s="88">
        <v>0.92167540895451361</v>
      </c>
    </row>
    <row r="20" spans="1:4" x14ac:dyDescent="0.25">
      <c r="A20" s="87" t="s">
        <v>15</v>
      </c>
      <c r="B20" s="91">
        <v>1820.825</v>
      </c>
      <c r="C20" s="91">
        <v>1839.4830000000002</v>
      </c>
      <c r="D20" s="88">
        <v>0.98985693262726526</v>
      </c>
    </row>
    <row r="21" spans="1:4" x14ac:dyDescent="0.25">
      <c r="A21" s="87" t="s">
        <v>68</v>
      </c>
      <c r="B21" s="91">
        <v>114.443</v>
      </c>
      <c r="C21" s="91">
        <v>189.23699999999999</v>
      </c>
      <c r="D21" s="88">
        <v>0.60476016846599767</v>
      </c>
    </row>
    <row r="22" spans="1:4" x14ac:dyDescent="0.25">
      <c r="A22" s="87" t="s">
        <v>8</v>
      </c>
      <c r="B22" s="91">
        <v>1869.3340000000001</v>
      </c>
      <c r="C22" s="91">
        <v>1912.4290000000001</v>
      </c>
      <c r="D22" s="88">
        <v>0.97746583010401955</v>
      </c>
    </row>
    <row r="23" spans="1:4" x14ac:dyDescent="0.25">
      <c r="A23" s="87" t="s">
        <v>11</v>
      </c>
      <c r="B23" s="91">
        <v>1260.7670000000001</v>
      </c>
      <c r="C23" s="91">
        <v>1261.384</v>
      </c>
      <c r="D23" s="88">
        <v>0.9995108547436784</v>
      </c>
    </row>
    <row r="24" spans="1:4" x14ac:dyDescent="0.25">
      <c r="A24" s="87" t="s">
        <v>96</v>
      </c>
      <c r="B24" s="91">
        <v>1799.6329999999998</v>
      </c>
      <c r="C24" s="91">
        <v>1965.328</v>
      </c>
      <c r="D24" s="88">
        <v>0.91569091775011591</v>
      </c>
    </row>
    <row r="25" spans="1:4" x14ac:dyDescent="0.25">
      <c r="A25" s="87" t="s">
        <v>17</v>
      </c>
      <c r="B25" s="91">
        <v>749.74400000000003</v>
      </c>
      <c r="C25" s="91">
        <v>782.75800000000004</v>
      </c>
      <c r="D25" s="88">
        <v>0.95782349078514684</v>
      </c>
    </row>
    <row r="26" spans="1:4" x14ac:dyDescent="0.25">
      <c r="A26" s="87" t="s">
        <v>21</v>
      </c>
      <c r="B26" s="91">
        <v>1619.69</v>
      </c>
      <c r="C26" s="91">
        <v>1683.5070000000001</v>
      </c>
      <c r="D26" s="88">
        <v>0.96209282171086907</v>
      </c>
    </row>
    <row r="27" spans="1:4" x14ac:dyDescent="0.25">
      <c r="A27" s="87" t="s">
        <v>18</v>
      </c>
      <c r="B27" s="91">
        <v>597.98</v>
      </c>
      <c r="C27" s="91">
        <v>795.35599999999999</v>
      </c>
      <c r="D27" s="88">
        <v>0.75183942787883673</v>
      </c>
    </row>
    <row r="28" spans="1:4" hidden="1" x14ac:dyDescent="0.25">
      <c r="A28" s="87" t="s">
        <v>58</v>
      </c>
      <c r="B28" s="91">
        <v>0</v>
      </c>
      <c r="C28" s="91">
        <v>0</v>
      </c>
      <c r="D28" s="88" t="e">
        <v>#DIV/0!</v>
      </c>
    </row>
    <row r="29" spans="1:4" hidden="1" x14ac:dyDescent="0.25">
      <c r="A29" s="87" t="s">
        <v>73</v>
      </c>
      <c r="B29" s="91">
        <v>0.36</v>
      </c>
      <c r="C29" s="91">
        <v>43.65</v>
      </c>
      <c r="D29" s="88">
        <v>8.2474226804123713E-3</v>
      </c>
    </row>
    <row r="30" spans="1:4" x14ac:dyDescent="0.25">
      <c r="A30" s="87" t="s">
        <v>139</v>
      </c>
      <c r="B30" s="91">
        <v>1366.009</v>
      </c>
      <c r="C30" s="91">
        <v>1542.3</v>
      </c>
      <c r="D30" s="88">
        <v>0.88569603838423139</v>
      </c>
    </row>
    <row r="31" spans="1:4" x14ac:dyDescent="0.25">
      <c r="A31" s="87" t="s">
        <v>221</v>
      </c>
      <c r="B31" s="91">
        <v>1472.97</v>
      </c>
      <c r="C31" s="91">
        <v>1580.491</v>
      </c>
      <c r="D31" s="88">
        <v>0.93196987518435725</v>
      </c>
    </row>
    <row r="32" spans="1:4" x14ac:dyDescent="0.25">
      <c r="A32" s="87" t="s">
        <v>165</v>
      </c>
      <c r="B32" s="91">
        <v>2753.0810000000001</v>
      </c>
      <c r="C32" s="91">
        <v>3105.1689999999999</v>
      </c>
      <c r="D32" s="88">
        <v>0.88661229066759339</v>
      </c>
    </row>
    <row r="33" spans="1:4" x14ac:dyDescent="0.25">
      <c r="A33" s="87" t="s">
        <v>234</v>
      </c>
      <c r="B33" s="91">
        <v>195.43100000000001</v>
      </c>
      <c r="C33" s="91">
        <v>296.47399999999999</v>
      </c>
      <c r="D33" s="88">
        <v>0.65918427922853273</v>
      </c>
    </row>
    <row r="34" spans="1:4" x14ac:dyDescent="0.25">
      <c r="A34" s="87" t="s">
        <v>226</v>
      </c>
      <c r="B34" s="91">
        <v>2648.7719999999999</v>
      </c>
      <c r="C34" s="91">
        <v>2873.9920000000002</v>
      </c>
      <c r="D34" s="88">
        <v>0.92163513329195057</v>
      </c>
    </row>
    <row r="35" spans="1:4" x14ac:dyDescent="0.25">
      <c r="A35" s="86" t="s">
        <v>120</v>
      </c>
      <c r="B35" s="91">
        <v>4128.4449999999997</v>
      </c>
      <c r="C35" s="91">
        <v>12822.934999999999</v>
      </c>
      <c r="D35" s="88">
        <v>0.32195788249725976</v>
      </c>
    </row>
    <row r="36" spans="1:4" x14ac:dyDescent="0.25">
      <c r="A36" s="87" t="s">
        <v>112</v>
      </c>
      <c r="B36" s="91">
        <v>1023.2730000000001</v>
      </c>
      <c r="C36" s="91">
        <v>3194.3890000000001</v>
      </c>
      <c r="D36" s="88">
        <v>0.32033449902313088</v>
      </c>
    </row>
    <row r="37" spans="1:4" x14ac:dyDescent="0.25">
      <c r="A37" s="87" t="s">
        <v>116</v>
      </c>
      <c r="B37" s="91">
        <v>480.32000000000005</v>
      </c>
      <c r="C37" s="91">
        <v>612.45699999999999</v>
      </c>
      <c r="D37" s="88">
        <v>0.78425097598688565</v>
      </c>
    </row>
    <row r="38" spans="1:4" x14ac:dyDescent="0.25">
      <c r="A38" s="87" t="s">
        <v>117</v>
      </c>
      <c r="B38" s="91">
        <v>877.38499999999999</v>
      </c>
      <c r="C38" s="91">
        <v>1334.7739999999999</v>
      </c>
      <c r="D38" s="88">
        <v>0.65732850654867425</v>
      </c>
    </row>
    <row r="39" spans="1:4" x14ac:dyDescent="0.25">
      <c r="A39" s="87" t="s">
        <v>87</v>
      </c>
      <c r="B39" s="91">
        <v>76.587999999999994</v>
      </c>
      <c r="C39" s="91">
        <v>1497.8679999999999</v>
      </c>
      <c r="D39" s="88">
        <v>5.1131341346500492E-2</v>
      </c>
    </row>
    <row r="40" spans="1:4" hidden="1" x14ac:dyDescent="0.25">
      <c r="A40" s="87" t="s">
        <v>95</v>
      </c>
      <c r="B40" s="91">
        <v>0</v>
      </c>
      <c r="C40" s="91">
        <v>0</v>
      </c>
      <c r="D40" s="88" t="e">
        <v>#DIV/0!</v>
      </c>
    </row>
    <row r="41" spans="1:4" hidden="1" x14ac:dyDescent="0.25">
      <c r="A41" s="87" t="s">
        <v>75</v>
      </c>
      <c r="B41" s="91">
        <v>144.88999999999999</v>
      </c>
      <c r="C41" s="91">
        <v>277.06900000000002</v>
      </c>
      <c r="D41" s="88">
        <v>0.52293832944140262</v>
      </c>
    </row>
    <row r="42" spans="1:4" x14ac:dyDescent="0.25">
      <c r="A42" s="87" t="s">
        <v>76</v>
      </c>
      <c r="B42" s="91">
        <v>165.107</v>
      </c>
      <c r="C42" s="91">
        <v>1730.085</v>
      </c>
      <c r="D42" s="88">
        <v>9.5432883355442075E-2</v>
      </c>
    </row>
    <row r="43" spans="1:4" hidden="1" x14ac:dyDescent="0.25">
      <c r="A43" s="87" t="s">
        <v>82</v>
      </c>
      <c r="B43" s="91">
        <v>0</v>
      </c>
      <c r="C43" s="91">
        <v>0</v>
      </c>
      <c r="D43" s="88" t="e">
        <v>#DIV/0!</v>
      </c>
    </row>
    <row r="44" spans="1:4" hidden="1" x14ac:dyDescent="0.25">
      <c r="A44" s="87" t="s">
        <v>114</v>
      </c>
      <c r="B44" s="91">
        <v>465.43</v>
      </c>
      <c r="C44" s="91">
        <v>793.22199999999998</v>
      </c>
      <c r="D44" s="88">
        <v>0.5867588140520561</v>
      </c>
    </row>
    <row r="45" spans="1:4" x14ac:dyDescent="0.25">
      <c r="A45" s="87" t="s">
        <v>115</v>
      </c>
      <c r="B45" s="91">
        <v>82.522999999999996</v>
      </c>
      <c r="C45" s="91">
        <v>716.8</v>
      </c>
      <c r="D45" s="88">
        <v>0.115126953125</v>
      </c>
    </row>
    <row r="46" spans="1:4" x14ac:dyDescent="0.25">
      <c r="A46" s="87" t="s">
        <v>47</v>
      </c>
      <c r="B46" s="91">
        <v>81.367999999999995</v>
      </c>
      <c r="C46" s="91">
        <v>635.322</v>
      </c>
      <c r="D46" s="88">
        <v>0.12807363824958051</v>
      </c>
    </row>
    <row r="47" spans="1:4" hidden="1" x14ac:dyDescent="0.25">
      <c r="A47" s="87" t="s">
        <v>64</v>
      </c>
      <c r="B47" s="91">
        <v>0</v>
      </c>
      <c r="C47" s="91">
        <v>0</v>
      </c>
      <c r="D47" s="88" t="e">
        <v>#DIV/0!</v>
      </c>
    </row>
    <row r="48" spans="1:4" hidden="1" x14ac:dyDescent="0.25">
      <c r="A48" s="87" t="s">
        <v>27</v>
      </c>
      <c r="B48" s="91">
        <v>57.136000000000003</v>
      </c>
      <c r="C48" s="91">
        <v>514.45500000000004</v>
      </c>
      <c r="D48" s="88">
        <v>0.11106122012615291</v>
      </c>
    </row>
    <row r="49" spans="1:4" x14ac:dyDescent="0.25">
      <c r="A49" s="87" t="s">
        <v>86</v>
      </c>
      <c r="B49" s="91">
        <v>80.617999999999995</v>
      </c>
      <c r="C49" s="91">
        <v>364.27</v>
      </c>
      <c r="D49" s="88">
        <v>0.22131386059790814</v>
      </c>
    </row>
    <row r="50" spans="1:4" x14ac:dyDescent="0.25">
      <c r="A50" s="87" t="s">
        <v>182</v>
      </c>
      <c r="B50" s="91">
        <v>10</v>
      </c>
      <c r="C50" s="91">
        <v>10</v>
      </c>
      <c r="D50" s="88">
        <v>1</v>
      </c>
    </row>
    <row r="51" spans="1:4" ht="13.5" customHeight="1" x14ac:dyDescent="0.25">
      <c r="A51" s="87" t="s">
        <v>180</v>
      </c>
      <c r="B51" s="91">
        <v>344.15699999999998</v>
      </c>
      <c r="C51" s="91">
        <v>679.74900000000002</v>
      </c>
      <c r="D51" s="88">
        <v>0.50630011960297105</v>
      </c>
    </row>
    <row r="52" spans="1:4" x14ac:dyDescent="0.25">
      <c r="A52" s="87" t="s">
        <v>181</v>
      </c>
      <c r="B52" s="91">
        <v>239.65</v>
      </c>
      <c r="C52" s="91">
        <v>462.47500000000002</v>
      </c>
      <c r="D52" s="88">
        <v>0.51819017244175358</v>
      </c>
    </row>
    <row r="53" spans="1:4" x14ac:dyDescent="0.25">
      <c r="A53" s="86" t="s">
        <v>126</v>
      </c>
      <c r="B53" s="91">
        <v>1114.1110000000001</v>
      </c>
      <c r="C53" s="91">
        <v>3171.4630000000011</v>
      </c>
      <c r="D53" s="88">
        <v>0.35129244768108592</v>
      </c>
    </row>
    <row r="54" spans="1:4" hidden="1" x14ac:dyDescent="0.25">
      <c r="A54" s="87" t="s">
        <v>100</v>
      </c>
      <c r="B54" s="91">
        <v>0</v>
      </c>
      <c r="C54" s="91">
        <v>0</v>
      </c>
      <c r="D54" s="88" t="e">
        <v>#DIV/0!</v>
      </c>
    </row>
    <row r="55" spans="1:4" hidden="1" x14ac:dyDescent="0.25">
      <c r="A55" s="87" t="s">
        <v>36</v>
      </c>
      <c r="B55" s="91">
        <v>0</v>
      </c>
      <c r="C55" s="91">
        <v>0</v>
      </c>
      <c r="D55" s="88" t="e">
        <v>#DIV/0!</v>
      </c>
    </row>
    <row r="56" spans="1:4" hidden="1" x14ac:dyDescent="0.25">
      <c r="A56" s="87" t="s">
        <v>51</v>
      </c>
      <c r="B56" s="91">
        <v>168.38</v>
      </c>
      <c r="C56" s="91">
        <v>212.78</v>
      </c>
      <c r="D56" s="88">
        <v>0.79133377197104993</v>
      </c>
    </row>
    <row r="57" spans="1:4" x14ac:dyDescent="0.25">
      <c r="A57" s="87" t="s">
        <v>77</v>
      </c>
      <c r="B57" s="91">
        <v>2.1720000000000002</v>
      </c>
      <c r="C57" s="91">
        <v>180.56700000000001</v>
      </c>
      <c r="D57" s="88">
        <v>1.2028776022196748E-2</v>
      </c>
    </row>
    <row r="58" spans="1:4" x14ac:dyDescent="0.25">
      <c r="A58" s="87" t="s">
        <v>50</v>
      </c>
      <c r="B58" s="91">
        <v>45.2</v>
      </c>
      <c r="C58" s="91">
        <v>45.2</v>
      </c>
      <c r="D58" s="88">
        <v>1</v>
      </c>
    </row>
    <row r="59" spans="1:4" hidden="1" x14ac:dyDescent="0.25">
      <c r="A59" s="87" t="s">
        <v>57</v>
      </c>
      <c r="B59" s="91">
        <v>0</v>
      </c>
      <c r="C59" s="91">
        <v>0</v>
      </c>
      <c r="D59" s="88" t="e">
        <v>#DIV/0!</v>
      </c>
    </row>
    <row r="60" spans="1:4" x14ac:dyDescent="0.25">
      <c r="A60" s="87" t="s">
        <v>25</v>
      </c>
      <c r="B60" s="91">
        <v>53.76</v>
      </c>
      <c r="C60" s="91">
        <v>53.76</v>
      </c>
      <c r="D60" s="88">
        <v>1</v>
      </c>
    </row>
    <row r="61" spans="1:4" x14ac:dyDescent="0.25">
      <c r="A61" s="87" t="s">
        <v>52</v>
      </c>
      <c r="B61" s="91">
        <v>245.238</v>
      </c>
      <c r="C61" s="91">
        <v>245.238</v>
      </c>
      <c r="D61" s="88">
        <v>1</v>
      </c>
    </row>
    <row r="62" spans="1:4" x14ac:dyDescent="0.25">
      <c r="A62" s="87" t="s">
        <v>85</v>
      </c>
      <c r="B62" s="91">
        <v>19.488</v>
      </c>
      <c r="C62" s="91">
        <v>37.042000000000002</v>
      </c>
      <c r="D62" s="88">
        <v>0.5261055018627504</v>
      </c>
    </row>
    <row r="63" spans="1:4" x14ac:dyDescent="0.25">
      <c r="A63" s="87" t="s">
        <v>111</v>
      </c>
      <c r="B63" s="91">
        <v>33.56</v>
      </c>
      <c r="C63" s="91">
        <v>155.65</v>
      </c>
      <c r="D63" s="88">
        <v>0.21561194988756827</v>
      </c>
    </row>
    <row r="64" spans="1:4" x14ac:dyDescent="0.25">
      <c r="A64" s="87" t="s">
        <v>59</v>
      </c>
      <c r="B64" s="91">
        <v>177.79000000000002</v>
      </c>
      <c r="C64" s="91">
        <v>610.49900000000014</v>
      </c>
      <c r="D64" s="88">
        <v>0.29122078824043934</v>
      </c>
    </row>
    <row r="65" spans="1:4" x14ac:dyDescent="0.25">
      <c r="A65" s="87" t="s">
        <v>113</v>
      </c>
      <c r="B65" s="91">
        <v>88.730999999999995</v>
      </c>
      <c r="C65" s="91">
        <v>605.774</v>
      </c>
      <c r="D65" s="88">
        <v>0.14647541822527874</v>
      </c>
    </row>
    <row r="66" spans="1:4" x14ac:dyDescent="0.25">
      <c r="A66" s="87" t="s">
        <v>72</v>
      </c>
      <c r="B66" s="91">
        <v>113.87800000000001</v>
      </c>
      <c r="C66" s="91">
        <v>538.26900000000001</v>
      </c>
      <c r="D66" s="88">
        <v>0.21156336329976277</v>
      </c>
    </row>
    <row r="67" spans="1:4" x14ac:dyDescent="0.25">
      <c r="A67" s="87" t="s">
        <v>45</v>
      </c>
      <c r="B67" s="91">
        <v>32.784999999999997</v>
      </c>
      <c r="C67" s="91">
        <v>64.442999999999998</v>
      </c>
      <c r="D67" s="88">
        <v>0.50874416150706825</v>
      </c>
    </row>
    <row r="68" spans="1:4" hidden="1" x14ac:dyDescent="0.25">
      <c r="A68" s="87" t="s">
        <v>70</v>
      </c>
      <c r="B68" s="91">
        <v>11.853999999999999</v>
      </c>
      <c r="C68" s="91">
        <v>62.756999999999998</v>
      </c>
      <c r="D68" s="88">
        <v>0.18888729544114599</v>
      </c>
    </row>
    <row r="69" spans="1:4" x14ac:dyDescent="0.25">
      <c r="A69" s="87" t="s">
        <v>93</v>
      </c>
      <c r="B69" s="91">
        <v>94.674000000000007</v>
      </c>
      <c r="C69" s="91">
        <v>193.32900000000001</v>
      </c>
      <c r="D69" s="88">
        <v>0.48970407957419737</v>
      </c>
    </row>
    <row r="70" spans="1:4" x14ac:dyDescent="0.25">
      <c r="A70" s="87" t="s">
        <v>178</v>
      </c>
      <c r="B70" s="91">
        <v>0.9</v>
      </c>
      <c r="C70" s="91">
        <v>110.05200000000001</v>
      </c>
      <c r="D70" s="88">
        <v>8.1779522407589133E-3</v>
      </c>
    </row>
    <row r="71" spans="1:4" hidden="1" x14ac:dyDescent="0.25">
      <c r="A71" s="87" t="s">
        <v>179</v>
      </c>
      <c r="B71" s="91">
        <v>25.701000000000001</v>
      </c>
      <c r="C71" s="91">
        <v>56.103000000000002</v>
      </c>
      <c r="D71" s="88">
        <v>0.45810384471418641</v>
      </c>
    </row>
    <row r="72" spans="1:4" hidden="1" x14ac:dyDescent="0.25">
      <c r="A72" s="87" t="s">
        <v>212</v>
      </c>
      <c r="B72" s="91">
        <v>0</v>
      </c>
      <c r="C72" s="91">
        <v>0</v>
      </c>
      <c r="D72" s="88" t="e">
        <v>#DIV/0!</v>
      </c>
    </row>
    <row r="73" spans="1:4" x14ac:dyDescent="0.25">
      <c r="A73" s="86" t="s">
        <v>125</v>
      </c>
      <c r="B73" s="91">
        <v>8916.32</v>
      </c>
      <c r="C73" s="91">
        <v>11552.800999999999</v>
      </c>
      <c r="D73" s="88">
        <v>0.77178859048987347</v>
      </c>
    </row>
    <row r="74" spans="1:4" x14ac:dyDescent="0.25">
      <c r="A74" s="87" t="s">
        <v>37</v>
      </c>
      <c r="B74" s="91">
        <v>8916.32</v>
      </c>
      <c r="C74" s="91">
        <v>11552.800999999999</v>
      </c>
      <c r="D74" s="88">
        <v>0.77178859048987347</v>
      </c>
    </row>
    <row r="75" spans="1:4" x14ac:dyDescent="0.25">
      <c r="A75" s="86" t="s">
        <v>122</v>
      </c>
      <c r="B75" s="91">
        <v>2209.221</v>
      </c>
      <c r="C75" s="91">
        <v>4936.6049999999996</v>
      </c>
      <c r="D75" s="88">
        <v>0.44751828432698182</v>
      </c>
    </row>
    <row r="76" spans="1:4" x14ac:dyDescent="0.25">
      <c r="A76" s="87" t="s">
        <v>78</v>
      </c>
      <c r="B76" s="91">
        <v>57.152000000000001</v>
      </c>
      <c r="C76" s="91">
        <v>490.08199999999999</v>
      </c>
      <c r="D76" s="88">
        <v>0.11661721915924274</v>
      </c>
    </row>
    <row r="77" spans="1:4" x14ac:dyDescent="0.25">
      <c r="A77" s="87" t="s">
        <v>103</v>
      </c>
      <c r="B77" s="91">
        <v>853.27700000000004</v>
      </c>
      <c r="C77" s="91">
        <v>978.15300000000002</v>
      </c>
      <c r="D77" s="88">
        <v>0.87233490057281426</v>
      </c>
    </row>
    <row r="78" spans="1:4" x14ac:dyDescent="0.25">
      <c r="A78" s="87" t="s">
        <v>210</v>
      </c>
      <c r="B78" s="91">
        <v>611.15899999999999</v>
      </c>
      <c r="C78" s="91">
        <v>2506.8629999999998</v>
      </c>
      <c r="D78" s="88">
        <v>0.24379433578939097</v>
      </c>
    </row>
    <row r="79" spans="1:4" x14ac:dyDescent="0.25">
      <c r="A79" s="87" t="s">
        <v>222</v>
      </c>
      <c r="B79" s="91">
        <v>687.63299999999992</v>
      </c>
      <c r="C79" s="91">
        <v>961.50699999999995</v>
      </c>
      <c r="D79" s="88">
        <v>0.71516172009148138</v>
      </c>
    </row>
    <row r="80" spans="1:4" x14ac:dyDescent="0.25">
      <c r="A80" s="86" t="s">
        <v>121</v>
      </c>
      <c r="B80" s="91">
        <v>5539.866</v>
      </c>
      <c r="C80" s="91">
        <v>10733.303999999998</v>
      </c>
      <c r="D80" s="88">
        <v>0.51613799441439479</v>
      </c>
    </row>
    <row r="81" spans="1:4" x14ac:dyDescent="0.25">
      <c r="A81" s="87" t="s">
        <v>98</v>
      </c>
      <c r="B81" s="91">
        <v>843.9</v>
      </c>
      <c r="C81" s="91">
        <v>1348.9</v>
      </c>
      <c r="D81" s="88">
        <v>0.62562087626955287</v>
      </c>
    </row>
    <row r="82" spans="1:4" x14ac:dyDescent="0.25">
      <c r="A82" s="87" t="s">
        <v>127</v>
      </c>
      <c r="B82" s="91">
        <v>199.69499999999999</v>
      </c>
      <c r="C82" s="91">
        <v>639.048</v>
      </c>
      <c r="D82" s="88">
        <v>0.3124882637923912</v>
      </c>
    </row>
    <row r="83" spans="1:4" x14ac:dyDescent="0.25">
      <c r="A83" s="87" t="s">
        <v>54</v>
      </c>
      <c r="B83" s="91">
        <v>192.1</v>
      </c>
      <c r="C83" s="91">
        <v>223.10400000000001</v>
      </c>
      <c r="D83" s="88">
        <v>0.86103341939185307</v>
      </c>
    </row>
    <row r="84" spans="1:4" x14ac:dyDescent="0.25">
      <c r="A84" s="87" t="s">
        <v>9</v>
      </c>
      <c r="B84" s="91">
        <v>1136.5269999999998</v>
      </c>
      <c r="C84" s="91">
        <v>1397.0919999999999</v>
      </c>
      <c r="D84" s="88">
        <v>0.81349474479848138</v>
      </c>
    </row>
    <row r="85" spans="1:4" x14ac:dyDescent="0.25">
      <c r="A85" s="87" t="s">
        <v>80</v>
      </c>
      <c r="B85" s="91">
        <v>1487.2930000000001</v>
      </c>
      <c r="C85" s="91">
        <v>3030.5499999999997</v>
      </c>
      <c r="D85" s="88">
        <v>0.49076669251456012</v>
      </c>
    </row>
    <row r="86" spans="1:4" hidden="1" x14ac:dyDescent="0.25">
      <c r="A86" s="87" t="s">
        <v>94</v>
      </c>
      <c r="B86" s="91">
        <v>0</v>
      </c>
      <c r="C86" s="91">
        <v>0</v>
      </c>
      <c r="D86" s="88" t="e">
        <v>#DIV/0!</v>
      </c>
    </row>
    <row r="87" spans="1:4" hidden="1" x14ac:dyDescent="0.25">
      <c r="A87" s="87" t="s">
        <v>104</v>
      </c>
      <c r="B87" s="91">
        <v>0</v>
      </c>
      <c r="C87" s="91">
        <v>0</v>
      </c>
      <c r="D87" s="88" t="e">
        <v>#DIV/0!</v>
      </c>
    </row>
    <row r="88" spans="1:4" hidden="1" x14ac:dyDescent="0.25">
      <c r="A88" s="87" t="s">
        <v>106</v>
      </c>
      <c r="B88" s="91">
        <v>0</v>
      </c>
      <c r="C88" s="91">
        <v>0</v>
      </c>
      <c r="D88" s="88" t="e">
        <v>#DIV/0!</v>
      </c>
    </row>
    <row r="89" spans="1:4" hidden="1" x14ac:dyDescent="0.25">
      <c r="A89" s="87" t="s">
        <v>19</v>
      </c>
      <c r="B89" s="91">
        <v>0</v>
      </c>
      <c r="C89" s="91">
        <v>0</v>
      </c>
      <c r="D89" s="88" t="e">
        <v>#DIV/0!</v>
      </c>
    </row>
    <row r="90" spans="1:4" hidden="1" x14ac:dyDescent="0.25">
      <c r="A90" s="87" t="s">
        <v>90</v>
      </c>
      <c r="B90" s="91">
        <v>0</v>
      </c>
      <c r="C90" s="91">
        <v>0</v>
      </c>
      <c r="D90" s="88" t="e">
        <v>#DIV/0!</v>
      </c>
    </row>
    <row r="91" spans="1:4" x14ac:dyDescent="0.25">
      <c r="A91" s="87" t="s">
        <v>56</v>
      </c>
      <c r="B91" s="91">
        <v>30.84</v>
      </c>
      <c r="C91" s="91">
        <v>30.84</v>
      </c>
      <c r="D91" s="88">
        <v>1</v>
      </c>
    </row>
    <row r="92" spans="1:4" hidden="1" x14ac:dyDescent="0.25">
      <c r="A92" s="87" t="s">
        <v>65</v>
      </c>
      <c r="B92" s="91">
        <v>0</v>
      </c>
      <c r="C92" s="91">
        <v>8.43</v>
      </c>
      <c r="D92" s="88">
        <v>0</v>
      </c>
    </row>
    <row r="93" spans="1:4" hidden="1" x14ac:dyDescent="0.25">
      <c r="A93" s="87" t="s">
        <v>105</v>
      </c>
      <c r="B93" s="91">
        <v>0</v>
      </c>
      <c r="C93" s="91">
        <v>0</v>
      </c>
      <c r="D93" s="88" t="e">
        <v>#DIV/0!</v>
      </c>
    </row>
    <row r="94" spans="1:4" hidden="1" x14ac:dyDescent="0.25">
      <c r="A94" s="87" t="s">
        <v>30</v>
      </c>
      <c r="B94" s="91">
        <v>14.754</v>
      </c>
      <c r="C94" s="91">
        <v>64.471000000000004</v>
      </c>
      <c r="D94" s="88">
        <v>0.22884707853143271</v>
      </c>
    </row>
    <row r="95" spans="1:4" x14ac:dyDescent="0.25">
      <c r="A95" s="87" t="s">
        <v>81</v>
      </c>
      <c r="B95" s="91">
        <v>25.6</v>
      </c>
      <c r="C95" s="91">
        <v>31.54</v>
      </c>
      <c r="D95" s="88">
        <v>0.81166772352568173</v>
      </c>
    </row>
    <row r="96" spans="1:4" hidden="1" x14ac:dyDescent="0.25">
      <c r="A96" s="87" t="s">
        <v>28</v>
      </c>
      <c r="B96" s="91">
        <v>0</v>
      </c>
      <c r="C96" s="91">
        <v>0</v>
      </c>
      <c r="D96" s="88" t="e">
        <v>#DIV/0!</v>
      </c>
    </row>
    <row r="97" spans="1:4" hidden="1" x14ac:dyDescent="0.25">
      <c r="A97" s="87" t="s">
        <v>92</v>
      </c>
      <c r="B97" s="91">
        <v>1070.9469999999999</v>
      </c>
      <c r="C97" s="91">
        <v>2587.9650000000001</v>
      </c>
      <c r="D97" s="88">
        <v>0.41381819305902506</v>
      </c>
    </row>
    <row r="98" spans="1:4" x14ac:dyDescent="0.25">
      <c r="A98" s="87" t="s">
        <v>63</v>
      </c>
      <c r="B98" s="91">
        <v>211.52499999999998</v>
      </c>
      <c r="C98" s="91">
        <v>565.64300000000003</v>
      </c>
      <c r="D98" s="88">
        <v>0.37395495038389931</v>
      </c>
    </row>
    <row r="99" spans="1:4" x14ac:dyDescent="0.25">
      <c r="A99" s="87" t="s">
        <v>183</v>
      </c>
      <c r="B99" s="91">
        <v>326.685</v>
      </c>
      <c r="C99" s="91">
        <v>805.721</v>
      </c>
      <c r="D99" s="88">
        <v>0.40545672757691559</v>
      </c>
    </row>
    <row r="100" spans="1:4" x14ac:dyDescent="0.25">
      <c r="A100" s="86" t="s">
        <v>124</v>
      </c>
      <c r="B100" s="91">
        <v>15715.362000000001</v>
      </c>
      <c r="C100" s="91">
        <v>30042.713999999996</v>
      </c>
      <c r="D100" s="88">
        <v>0.5231006093524041</v>
      </c>
    </row>
    <row r="101" spans="1:4" x14ac:dyDescent="0.25">
      <c r="A101" s="87" t="s">
        <v>22</v>
      </c>
      <c r="B101" s="91">
        <v>1219.412</v>
      </c>
      <c r="C101" s="91">
        <v>2033.8719999999998</v>
      </c>
      <c r="D101" s="88">
        <v>0.59955198753903893</v>
      </c>
    </row>
    <row r="102" spans="1:4" x14ac:dyDescent="0.25">
      <c r="A102" s="87" t="s">
        <v>48</v>
      </c>
      <c r="B102" s="91">
        <v>800.10799999999995</v>
      </c>
      <c r="C102" s="91">
        <v>1714.5339999999999</v>
      </c>
      <c r="D102" s="88">
        <v>0.46666207844230562</v>
      </c>
    </row>
    <row r="103" spans="1:4" x14ac:dyDescent="0.25">
      <c r="A103" s="87" t="s">
        <v>12</v>
      </c>
      <c r="B103" s="91">
        <v>7959.8009999999995</v>
      </c>
      <c r="C103" s="91">
        <v>14775.517</v>
      </c>
      <c r="D103" s="88">
        <v>0.53871556575651458</v>
      </c>
    </row>
    <row r="104" spans="1:4" x14ac:dyDescent="0.25">
      <c r="A104" s="87" t="s">
        <v>23</v>
      </c>
      <c r="B104" s="91">
        <v>741.9849999999999</v>
      </c>
      <c r="C104" s="91">
        <v>1729.547</v>
      </c>
      <c r="D104" s="88">
        <v>0.42900539852342834</v>
      </c>
    </row>
    <row r="105" spans="1:4" x14ac:dyDescent="0.25">
      <c r="A105" s="87" t="s">
        <v>24</v>
      </c>
      <c r="B105" s="91">
        <v>303.52</v>
      </c>
      <c r="C105" s="91">
        <v>1397.923</v>
      </c>
      <c r="D105" s="88">
        <v>0.21712211616805788</v>
      </c>
    </row>
    <row r="106" spans="1:4" x14ac:dyDescent="0.25">
      <c r="A106" s="87" t="s">
        <v>10</v>
      </c>
      <c r="B106" s="91">
        <v>352.73900000000003</v>
      </c>
      <c r="C106" s="91">
        <v>902.41500000000008</v>
      </c>
      <c r="D106" s="88">
        <v>0.3908833518946383</v>
      </c>
    </row>
    <row r="107" spans="1:4" x14ac:dyDescent="0.25">
      <c r="A107" s="87" t="s">
        <v>16</v>
      </c>
      <c r="B107" s="91">
        <v>1014.3869999999999</v>
      </c>
      <c r="C107" s="91">
        <v>1793.6220000000001</v>
      </c>
      <c r="D107" s="88">
        <v>0.5655522735559666</v>
      </c>
    </row>
    <row r="108" spans="1:4" x14ac:dyDescent="0.25">
      <c r="A108" s="87" t="s">
        <v>91</v>
      </c>
      <c r="B108" s="91">
        <v>1459.0229999999999</v>
      </c>
      <c r="C108" s="91">
        <v>2360.0909999999999</v>
      </c>
      <c r="D108" s="88">
        <v>0.61820624713199612</v>
      </c>
    </row>
    <row r="109" spans="1:4" x14ac:dyDescent="0.25">
      <c r="A109" s="87" t="s">
        <v>35</v>
      </c>
      <c r="B109" s="91">
        <v>1395.018</v>
      </c>
      <c r="C109" s="91">
        <v>2275.902</v>
      </c>
      <c r="D109" s="88">
        <v>0.61295170002926314</v>
      </c>
    </row>
    <row r="110" spans="1:4" hidden="1" x14ac:dyDescent="0.25">
      <c r="A110" s="87" t="s">
        <v>89</v>
      </c>
      <c r="B110" s="91">
        <v>0</v>
      </c>
      <c r="C110" s="91">
        <v>0</v>
      </c>
      <c r="D110" s="88" t="e">
        <v>#DIV/0!</v>
      </c>
    </row>
    <row r="111" spans="1:4" hidden="1" x14ac:dyDescent="0.25">
      <c r="A111" s="87" t="s">
        <v>67</v>
      </c>
      <c r="B111" s="91">
        <v>0</v>
      </c>
      <c r="C111" s="91">
        <v>0</v>
      </c>
      <c r="D111" s="88" t="e">
        <v>#DIV/0!</v>
      </c>
    </row>
    <row r="112" spans="1:4" hidden="1" x14ac:dyDescent="0.25">
      <c r="A112" s="87" t="s">
        <v>241</v>
      </c>
      <c r="B112" s="91">
        <v>469.36900000000003</v>
      </c>
      <c r="C112" s="91">
        <v>1059.2909999999999</v>
      </c>
      <c r="D112" s="88">
        <v>0.44309731697899829</v>
      </c>
    </row>
    <row r="113" spans="1:4" x14ac:dyDescent="0.25">
      <c r="A113" s="86" t="s">
        <v>123</v>
      </c>
      <c r="B113" s="91">
        <v>634.44799999999998</v>
      </c>
      <c r="C113" s="91">
        <v>2955.2309999999993</v>
      </c>
      <c r="D113" s="88">
        <v>0.21468643229581719</v>
      </c>
    </row>
    <row r="114" spans="1:4" x14ac:dyDescent="0.25">
      <c r="A114" s="87" t="s">
        <v>74</v>
      </c>
      <c r="B114" s="91">
        <v>177.58</v>
      </c>
      <c r="C114" s="91">
        <v>609.23299999999995</v>
      </c>
      <c r="D114" s="88">
        <v>0.2914812559398457</v>
      </c>
    </row>
    <row r="115" spans="1:4" x14ac:dyDescent="0.25">
      <c r="A115" s="87" t="s">
        <v>88</v>
      </c>
      <c r="B115" s="91">
        <v>195.05199999999999</v>
      </c>
      <c r="C115" s="91">
        <v>570.80999999999995</v>
      </c>
      <c r="D115" s="88">
        <v>0.34171090205147076</v>
      </c>
    </row>
    <row r="116" spans="1:4" hidden="1" x14ac:dyDescent="0.25">
      <c r="A116" s="87" t="s">
        <v>66</v>
      </c>
      <c r="B116" s="91">
        <v>0</v>
      </c>
      <c r="C116" s="91">
        <v>0</v>
      </c>
      <c r="D116" s="88" t="e">
        <v>#DIV/0!</v>
      </c>
    </row>
    <row r="117" spans="1:4" x14ac:dyDescent="0.25">
      <c r="A117" s="87" t="s">
        <v>69</v>
      </c>
      <c r="B117" s="91">
        <v>32.520000000000003</v>
      </c>
      <c r="C117" s="91">
        <v>348.476</v>
      </c>
      <c r="D117" s="88">
        <v>9.3320630402093693E-2</v>
      </c>
    </row>
    <row r="118" spans="1:4" x14ac:dyDescent="0.25">
      <c r="A118" s="87" t="s">
        <v>71</v>
      </c>
      <c r="B118" s="91">
        <v>92.251000000000005</v>
      </c>
      <c r="C118" s="91">
        <v>644.16700000000003</v>
      </c>
      <c r="D118" s="88">
        <v>0.14320975771810726</v>
      </c>
    </row>
    <row r="119" spans="1:4" x14ac:dyDescent="0.25">
      <c r="A119" s="87" t="s">
        <v>211</v>
      </c>
      <c r="B119" s="91">
        <v>50.505000000000003</v>
      </c>
      <c r="C119" s="91">
        <v>414.66399999999999</v>
      </c>
      <c r="D119" s="88">
        <v>0.12179740705728012</v>
      </c>
    </row>
    <row r="120" spans="1:4" x14ac:dyDescent="0.25">
      <c r="A120" s="87" t="s">
        <v>213</v>
      </c>
      <c r="B120" s="91">
        <v>86.54</v>
      </c>
      <c r="C120" s="91">
        <v>367.88099999999997</v>
      </c>
      <c r="D120" s="88">
        <v>0.23523911264783995</v>
      </c>
    </row>
    <row r="121" spans="1:4" x14ac:dyDescent="0.25">
      <c r="A121" s="86" t="s">
        <v>171</v>
      </c>
      <c r="B121" s="91">
        <v>82332.591</v>
      </c>
      <c r="C121" s="91">
        <v>123958.08</v>
      </c>
      <c r="D121" s="88">
        <v>0.66419704951867597</v>
      </c>
    </row>
  </sheetData>
  <pageMargins left="0.7" right="0.7" top="0.75" bottom="0.75" header="0.3" footer="0.3"/>
  <pageSetup paperSize="9" orientation="portrait" horizontalDpi="4294967295" verticalDpi="4294967295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F92CD-421D-485F-A09E-744EE6D43BD2}">
  <dimension ref="A1:K52"/>
  <sheetViews>
    <sheetView workbookViewId="0">
      <selection activeCell="F14" sqref="F14"/>
    </sheetView>
  </sheetViews>
  <sheetFormatPr defaultColWidth="8.7109375" defaultRowHeight="15" x14ac:dyDescent="0.25"/>
  <cols>
    <col min="1" max="1" width="17.42578125" style="130" bestFit="1" customWidth="1"/>
    <col min="2" max="2" width="35.5703125" style="130" bestFit="1" customWidth="1"/>
    <col min="3" max="3" width="37.5703125" style="130" hidden="1" customWidth="1"/>
    <col min="4" max="4" width="21.5703125" style="130" hidden="1" customWidth="1"/>
    <col min="5" max="6" width="31.85546875" style="130" customWidth="1"/>
    <col min="7" max="7" width="36" style="130" hidden="1" customWidth="1"/>
    <col min="8" max="8" width="36" style="217" customWidth="1"/>
    <col min="9" max="9" width="20.140625" style="130" customWidth="1"/>
    <col min="10" max="10" width="20.140625" style="217" customWidth="1"/>
    <col min="11" max="11" width="49.140625" style="130" hidden="1" customWidth="1"/>
    <col min="12" max="16384" width="8.7109375" style="130"/>
  </cols>
  <sheetData>
    <row r="1" spans="1:11" s="129" customFormat="1" ht="12.75" x14ac:dyDescent="0.2">
      <c r="A1" s="129" t="s">
        <v>184</v>
      </c>
      <c r="B1" s="129" t="s">
        <v>185</v>
      </c>
      <c r="C1" s="129" t="s">
        <v>249</v>
      </c>
      <c r="D1" s="129" t="s">
        <v>250</v>
      </c>
      <c r="E1" s="129" t="s">
        <v>251</v>
      </c>
      <c r="F1" s="129" t="s">
        <v>252</v>
      </c>
      <c r="G1" s="129" t="s">
        <v>232</v>
      </c>
      <c r="H1" s="215" t="s">
        <v>253</v>
      </c>
      <c r="I1" s="129" t="s">
        <v>233</v>
      </c>
      <c r="J1" s="215" t="s">
        <v>254</v>
      </c>
      <c r="K1" s="129" t="s">
        <v>255</v>
      </c>
    </row>
    <row r="2" spans="1:11" x14ac:dyDescent="0.25">
      <c r="A2" s="220">
        <v>1004359</v>
      </c>
      <c r="B2" s="130" t="s">
        <v>208</v>
      </c>
      <c r="C2" s="130" t="s">
        <v>256</v>
      </c>
      <c r="D2" s="130" t="s">
        <v>257</v>
      </c>
      <c r="E2" s="216">
        <v>86540</v>
      </c>
      <c r="F2" s="218">
        <f t="shared" ref="F2:F33" si="0">+E2/1000</f>
        <v>86.54</v>
      </c>
      <c r="G2" s="216">
        <v>281341</v>
      </c>
      <c r="H2" s="219">
        <f t="shared" ref="H2:H33" si="1">+G2/1000</f>
        <v>281.34100000000001</v>
      </c>
      <c r="I2" s="216">
        <v>367881</v>
      </c>
      <c r="J2" s="217">
        <f t="shared" ref="J2:J33" si="2">+I2/1000</f>
        <v>367.88099999999997</v>
      </c>
      <c r="K2" s="150">
        <v>0.23523911264784</v>
      </c>
    </row>
    <row r="3" spans="1:11" x14ac:dyDescent="0.25">
      <c r="A3" s="220">
        <v>1043650</v>
      </c>
      <c r="B3" s="130" t="s">
        <v>9</v>
      </c>
      <c r="C3" s="130" t="s">
        <v>258</v>
      </c>
      <c r="D3" s="130" t="s">
        <v>259</v>
      </c>
      <c r="E3" s="216">
        <v>1040302</v>
      </c>
      <c r="F3" s="218">
        <f t="shared" si="0"/>
        <v>1040.3019999999999</v>
      </c>
      <c r="G3" s="216">
        <v>237865</v>
      </c>
      <c r="H3" s="219">
        <f t="shared" si="1"/>
        <v>237.86500000000001</v>
      </c>
      <c r="I3" s="216">
        <v>1278167</v>
      </c>
      <c r="J3" s="217">
        <f t="shared" si="2"/>
        <v>1278.1669999999999</v>
      </c>
      <c r="K3" s="150">
        <v>0.81390146983923095</v>
      </c>
    </row>
    <row r="4" spans="1:11" x14ac:dyDescent="0.25">
      <c r="A4" s="220">
        <v>1066946</v>
      </c>
      <c r="B4" s="130" t="s">
        <v>218</v>
      </c>
      <c r="C4" s="130" t="s">
        <v>260</v>
      </c>
      <c r="D4" s="130" t="s">
        <v>261</v>
      </c>
      <c r="E4" s="216">
        <v>174100</v>
      </c>
      <c r="F4" s="218">
        <f t="shared" si="0"/>
        <v>174.1</v>
      </c>
      <c r="G4" s="216">
        <v>31004</v>
      </c>
      <c r="H4" s="219">
        <f t="shared" si="1"/>
        <v>31.004000000000001</v>
      </c>
      <c r="I4" s="216">
        <v>205104</v>
      </c>
      <c r="J4" s="217">
        <f t="shared" si="2"/>
        <v>205.10400000000001</v>
      </c>
      <c r="K4" s="150">
        <v>0.84883766284421602</v>
      </c>
    </row>
    <row r="5" spans="1:11" x14ac:dyDescent="0.25">
      <c r="A5" s="220">
        <v>1088515</v>
      </c>
      <c r="B5" s="130" t="s">
        <v>194</v>
      </c>
      <c r="C5" s="130" t="s">
        <v>262</v>
      </c>
      <c r="D5" s="130" t="s">
        <v>263</v>
      </c>
      <c r="E5" s="216">
        <v>36495</v>
      </c>
      <c r="F5" s="218">
        <f t="shared" si="0"/>
        <v>36.494999999999997</v>
      </c>
      <c r="G5" s="216">
        <v>138228</v>
      </c>
      <c r="H5" s="219">
        <f t="shared" si="1"/>
        <v>138.22800000000001</v>
      </c>
      <c r="I5" s="216">
        <v>174723</v>
      </c>
      <c r="J5" s="217">
        <f t="shared" si="2"/>
        <v>174.72300000000001</v>
      </c>
      <c r="K5" s="150">
        <v>0.20887347401315201</v>
      </c>
    </row>
    <row r="6" spans="1:11" x14ac:dyDescent="0.25">
      <c r="A6" s="220">
        <v>1091281</v>
      </c>
      <c r="B6" s="130" t="s">
        <v>195</v>
      </c>
      <c r="C6" s="130" t="s">
        <v>264</v>
      </c>
      <c r="D6" s="130" t="s">
        <v>265</v>
      </c>
      <c r="E6" s="216">
        <v>165107</v>
      </c>
      <c r="F6" s="218">
        <f t="shared" si="0"/>
        <v>165.107</v>
      </c>
      <c r="G6" s="216">
        <v>1564978</v>
      </c>
      <c r="H6" s="219">
        <f t="shared" si="1"/>
        <v>1564.9780000000001</v>
      </c>
      <c r="I6" s="216">
        <v>1730085</v>
      </c>
      <c r="J6" s="217">
        <f t="shared" si="2"/>
        <v>1730.085</v>
      </c>
      <c r="K6" s="150">
        <v>9.5432883355442102E-2</v>
      </c>
    </row>
    <row r="7" spans="1:11" x14ac:dyDescent="0.25">
      <c r="A7" s="220">
        <v>1096809</v>
      </c>
      <c r="B7" s="130" t="s">
        <v>206</v>
      </c>
      <c r="C7" s="130" t="s">
        <v>266</v>
      </c>
      <c r="D7" s="130" t="s">
        <v>229</v>
      </c>
      <c r="E7" s="216">
        <v>11854</v>
      </c>
      <c r="F7" s="218">
        <f t="shared" si="0"/>
        <v>11.853999999999999</v>
      </c>
      <c r="G7" s="216">
        <v>50903</v>
      </c>
      <c r="H7" s="219">
        <f t="shared" si="1"/>
        <v>50.902999999999999</v>
      </c>
      <c r="I7" s="216">
        <v>62757</v>
      </c>
      <c r="J7" s="217">
        <f t="shared" si="2"/>
        <v>62.756999999999998</v>
      </c>
      <c r="K7" s="150">
        <v>0.18888729544114599</v>
      </c>
    </row>
    <row r="8" spans="1:11" x14ac:dyDescent="0.25">
      <c r="A8" s="220">
        <v>1098703</v>
      </c>
      <c r="B8" s="130" t="s">
        <v>205</v>
      </c>
      <c r="C8" s="130" t="s">
        <v>267</v>
      </c>
      <c r="D8" s="130" t="s">
        <v>268</v>
      </c>
      <c r="E8" s="216">
        <v>50505</v>
      </c>
      <c r="F8" s="218">
        <f t="shared" si="0"/>
        <v>50.505000000000003</v>
      </c>
      <c r="G8" s="216">
        <v>364159</v>
      </c>
      <c r="H8" s="219">
        <f t="shared" si="1"/>
        <v>364.15899999999999</v>
      </c>
      <c r="I8" s="216">
        <v>414664</v>
      </c>
      <c r="J8" s="217">
        <f t="shared" si="2"/>
        <v>414.66399999999999</v>
      </c>
      <c r="K8" s="150">
        <v>0.12179740705728</v>
      </c>
    </row>
    <row r="9" spans="1:11" x14ac:dyDescent="0.25">
      <c r="A9" s="220">
        <v>1111606</v>
      </c>
      <c r="B9" s="130" t="s">
        <v>197</v>
      </c>
      <c r="C9" s="130" t="s">
        <v>269</v>
      </c>
      <c r="D9" s="130" t="s">
        <v>270</v>
      </c>
      <c r="E9" s="216">
        <v>2000</v>
      </c>
      <c r="F9" s="218">
        <f t="shared" si="0"/>
        <v>2</v>
      </c>
      <c r="G9" s="216">
        <v>18170</v>
      </c>
      <c r="H9" s="219">
        <f t="shared" si="1"/>
        <v>18.170000000000002</v>
      </c>
      <c r="I9" s="216">
        <v>20170</v>
      </c>
      <c r="J9" s="217">
        <f t="shared" si="2"/>
        <v>20.170000000000002</v>
      </c>
      <c r="K9" s="150">
        <v>9.9157164105106596E-2</v>
      </c>
    </row>
    <row r="10" spans="1:11" x14ac:dyDescent="0.25">
      <c r="A10" s="220">
        <v>1123703</v>
      </c>
      <c r="B10" s="130" t="s">
        <v>86</v>
      </c>
      <c r="C10" s="130" t="s">
        <v>271</v>
      </c>
      <c r="D10" s="130" t="s">
        <v>272</v>
      </c>
      <c r="E10" s="216">
        <v>80618</v>
      </c>
      <c r="F10" s="218">
        <f t="shared" si="0"/>
        <v>80.617999999999995</v>
      </c>
      <c r="G10" s="216">
        <v>283652</v>
      </c>
      <c r="H10" s="219">
        <f t="shared" si="1"/>
        <v>283.65199999999999</v>
      </c>
      <c r="I10" s="216">
        <v>364270</v>
      </c>
      <c r="J10" s="217">
        <f t="shared" si="2"/>
        <v>364.27</v>
      </c>
      <c r="K10" s="150">
        <v>0.221313860597908</v>
      </c>
    </row>
    <row r="11" spans="1:11" x14ac:dyDescent="0.25">
      <c r="A11" s="220">
        <v>1128479</v>
      </c>
      <c r="B11" s="130" t="s">
        <v>196</v>
      </c>
      <c r="C11" s="130" t="s">
        <v>273</v>
      </c>
      <c r="D11" s="130" t="s">
        <v>274</v>
      </c>
      <c r="E11" s="216">
        <v>197854</v>
      </c>
      <c r="F11" s="218">
        <f t="shared" si="0"/>
        <v>197.85400000000001</v>
      </c>
      <c r="G11" s="216">
        <v>1069292</v>
      </c>
      <c r="H11" s="219">
        <f t="shared" si="1"/>
        <v>1069.2919999999999</v>
      </c>
      <c r="I11" s="216">
        <v>1267146</v>
      </c>
      <c r="J11" s="217">
        <f t="shared" si="2"/>
        <v>1267.146</v>
      </c>
      <c r="K11" s="150">
        <v>0.15614143910804301</v>
      </c>
    </row>
    <row r="12" spans="1:11" x14ac:dyDescent="0.25">
      <c r="A12" s="220">
        <v>1136302</v>
      </c>
      <c r="B12" s="130" t="s">
        <v>192</v>
      </c>
      <c r="C12" s="130" t="s">
        <v>275</v>
      </c>
      <c r="D12" s="130" t="s">
        <v>276</v>
      </c>
      <c r="E12" s="216">
        <v>239650</v>
      </c>
      <c r="F12" s="218">
        <f t="shared" si="0"/>
        <v>239.65</v>
      </c>
      <c r="G12" s="216">
        <v>222825</v>
      </c>
      <c r="H12" s="219">
        <f t="shared" si="1"/>
        <v>222.82499999999999</v>
      </c>
      <c r="I12" s="216">
        <v>462475</v>
      </c>
      <c r="J12" s="217">
        <f t="shared" si="2"/>
        <v>462.47500000000002</v>
      </c>
      <c r="K12" s="150">
        <v>0.51819017244175403</v>
      </c>
    </row>
    <row r="13" spans="1:11" x14ac:dyDescent="0.25">
      <c r="A13" s="220">
        <v>1145780</v>
      </c>
      <c r="B13" s="130" t="s">
        <v>198</v>
      </c>
      <c r="C13" s="130" t="s">
        <v>277</v>
      </c>
      <c r="D13" s="130" t="s">
        <v>270</v>
      </c>
      <c r="E13" s="216">
        <v>175580</v>
      </c>
      <c r="F13" s="218">
        <f t="shared" si="0"/>
        <v>175.58</v>
      </c>
      <c r="G13" s="216">
        <v>413483</v>
      </c>
      <c r="H13" s="219">
        <f t="shared" si="1"/>
        <v>413.483</v>
      </c>
      <c r="I13" s="216">
        <v>589063</v>
      </c>
      <c r="J13" s="217">
        <f t="shared" si="2"/>
        <v>589.06299999999999</v>
      </c>
      <c r="K13" s="150">
        <v>0.29806659050050699</v>
      </c>
    </row>
    <row r="14" spans="1:11" x14ac:dyDescent="0.25">
      <c r="A14" s="220">
        <v>1149830</v>
      </c>
      <c r="B14" s="130" t="s">
        <v>188</v>
      </c>
      <c r="C14" s="130" t="s">
        <v>278</v>
      </c>
      <c r="D14" s="130" t="s">
        <v>279</v>
      </c>
      <c r="E14" s="216">
        <v>2172</v>
      </c>
      <c r="F14" s="218">
        <f t="shared" si="0"/>
        <v>2.1720000000000002</v>
      </c>
      <c r="G14" s="216">
        <v>178395</v>
      </c>
      <c r="H14" s="219">
        <f t="shared" si="1"/>
        <v>178.39500000000001</v>
      </c>
      <c r="I14" s="216">
        <v>180567</v>
      </c>
      <c r="J14" s="217">
        <f t="shared" si="2"/>
        <v>180.56700000000001</v>
      </c>
      <c r="K14" s="150">
        <v>1.2028776022196701E-2</v>
      </c>
    </row>
    <row r="15" spans="1:11" x14ac:dyDescent="0.25">
      <c r="A15" s="220">
        <v>1192523</v>
      </c>
      <c r="B15" s="130" t="s">
        <v>188</v>
      </c>
      <c r="C15" s="130" t="s">
        <v>280</v>
      </c>
      <c r="D15" s="130" t="s">
        <v>279</v>
      </c>
      <c r="E15" s="216">
        <v>57152</v>
      </c>
      <c r="F15" s="218">
        <f t="shared" si="0"/>
        <v>57.152000000000001</v>
      </c>
      <c r="G15" s="216">
        <v>432930</v>
      </c>
      <c r="H15" s="219">
        <f t="shared" si="1"/>
        <v>432.93</v>
      </c>
      <c r="I15" s="216">
        <v>490082</v>
      </c>
      <c r="J15" s="217">
        <f t="shared" si="2"/>
        <v>490.08199999999999</v>
      </c>
      <c r="K15" s="150">
        <v>0.116617219159243</v>
      </c>
    </row>
    <row r="16" spans="1:11" x14ac:dyDescent="0.25">
      <c r="A16" s="220">
        <v>1198425</v>
      </c>
      <c r="B16" s="130" t="s">
        <v>234</v>
      </c>
      <c r="C16" s="130" t="s">
        <v>281</v>
      </c>
      <c r="D16" s="130" t="s">
        <v>282</v>
      </c>
      <c r="E16" s="216">
        <v>195431</v>
      </c>
      <c r="F16" s="218">
        <f t="shared" si="0"/>
        <v>195.43100000000001</v>
      </c>
      <c r="G16" s="216">
        <v>101043</v>
      </c>
      <c r="H16" s="219">
        <f t="shared" si="1"/>
        <v>101.04300000000001</v>
      </c>
      <c r="I16" s="216">
        <v>296474</v>
      </c>
      <c r="J16" s="217">
        <f t="shared" si="2"/>
        <v>296.47399999999999</v>
      </c>
      <c r="K16" s="150">
        <v>0.65918427922853295</v>
      </c>
    </row>
    <row r="17" spans="1:11" x14ac:dyDescent="0.25">
      <c r="A17" s="220">
        <v>1199339</v>
      </c>
      <c r="B17" s="130" t="s">
        <v>160</v>
      </c>
      <c r="C17" s="130" t="s">
        <v>283</v>
      </c>
      <c r="D17" s="130" t="s">
        <v>248</v>
      </c>
      <c r="E17" s="216">
        <v>11000</v>
      </c>
      <c r="F17" s="218">
        <f t="shared" si="0"/>
        <v>11</v>
      </c>
      <c r="G17" s="216">
        <v>102033</v>
      </c>
      <c r="H17" s="219">
        <f t="shared" si="1"/>
        <v>102.033</v>
      </c>
      <c r="I17" s="216">
        <v>113033</v>
      </c>
      <c r="J17" s="217">
        <f t="shared" si="2"/>
        <v>113.033</v>
      </c>
      <c r="K17" s="150">
        <v>9.7316712818380502E-2</v>
      </c>
    </row>
    <row r="18" spans="1:11" x14ac:dyDescent="0.25">
      <c r="A18" s="220">
        <v>1216525</v>
      </c>
      <c r="B18" s="130" t="s">
        <v>160</v>
      </c>
      <c r="C18" s="130" t="s">
        <v>284</v>
      </c>
      <c r="D18" s="130" t="s">
        <v>248</v>
      </c>
      <c r="E18" s="216">
        <v>92251</v>
      </c>
      <c r="F18" s="218">
        <f t="shared" si="0"/>
        <v>92.251000000000005</v>
      </c>
      <c r="G18" s="216">
        <v>551916</v>
      </c>
      <c r="H18" s="219">
        <f t="shared" si="1"/>
        <v>551.91600000000005</v>
      </c>
      <c r="I18" s="216">
        <v>644167</v>
      </c>
      <c r="J18" s="217">
        <f t="shared" si="2"/>
        <v>644.16700000000003</v>
      </c>
      <c r="K18" s="150">
        <v>0.14320975771810701</v>
      </c>
    </row>
    <row r="19" spans="1:11" x14ac:dyDescent="0.25">
      <c r="A19" s="220">
        <v>1218014</v>
      </c>
      <c r="B19" s="130" t="s">
        <v>186</v>
      </c>
      <c r="C19" s="130" t="s">
        <v>285</v>
      </c>
      <c r="D19" s="130" t="s">
        <v>286</v>
      </c>
      <c r="E19" s="216">
        <v>1070947</v>
      </c>
      <c r="F19" s="218">
        <f t="shared" si="0"/>
        <v>1070.9469999999999</v>
      </c>
      <c r="G19" s="216">
        <v>1517018</v>
      </c>
      <c r="H19" s="219">
        <f t="shared" si="1"/>
        <v>1517.018</v>
      </c>
      <c r="I19" s="216">
        <v>2587965</v>
      </c>
      <c r="J19" s="217">
        <f t="shared" si="2"/>
        <v>2587.9650000000001</v>
      </c>
      <c r="K19" s="150">
        <v>0.41381819305902501</v>
      </c>
    </row>
    <row r="20" spans="1:11" x14ac:dyDescent="0.25">
      <c r="A20" s="220">
        <v>1232086</v>
      </c>
      <c r="B20" s="130" t="s">
        <v>138</v>
      </c>
      <c r="C20" s="130" t="s">
        <v>287</v>
      </c>
      <c r="D20" s="130" t="s">
        <v>288</v>
      </c>
      <c r="E20" s="216">
        <v>180</v>
      </c>
      <c r="F20" s="218">
        <f t="shared" si="0"/>
        <v>0.18</v>
      </c>
      <c r="G20" s="216">
        <v>1972</v>
      </c>
      <c r="H20" s="219">
        <f t="shared" si="1"/>
        <v>1.972</v>
      </c>
      <c r="I20" s="216">
        <v>2152</v>
      </c>
      <c r="J20" s="217">
        <f t="shared" si="2"/>
        <v>2.1520000000000001</v>
      </c>
      <c r="K20" s="150">
        <v>8.3643122676579904E-2</v>
      </c>
    </row>
    <row r="21" spans="1:11" x14ac:dyDescent="0.25">
      <c r="A21" s="220">
        <v>1346990</v>
      </c>
      <c r="B21" s="130" t="s">
        <v>190</v>
      </c>
      <c r="C21" s="130" t="s">
        <v>289</v>
      </c>
      <c r="D21" s="130" t="s">
        <v>290</v>
      </c>
      <c r="E21" s="216">
        <v>13506</v>
      </c>
      <c r="F21" s="218">
        <f t="shared" si="0"/>
        <v>13.506</v>
      </c>
      <c r="G21" s="216">
        <v>49158</v>
      </c>
      <c r="H21" s="219">
        <f t="shared" si="1"/>
        <v>49.158000000000001</v>
      </c>
      <c r="I21" s="216">
        <v>62664</v>
      </c>
      <c r="J21" s="217">
        <f t="shared" si="2"/>
        <v>62.664000000000001</v>
      </c>
      <c r="K21" s="150">
        <v>0.21553044810417499</v>
      </c>
    </row>
    <row r="22" spans="1:11" x14ac:dyDescent="0.25">
      <c r="A22" s="220">
        <v>1573820</v>
      </c>
      <c r="B22" s="130" t="s">
        <v>225</v>
      </c>
      <c r="C22" s="130" t="s">
        <v>291</v>
      </c>
      <c r="D22" s="130" t="s">
        <v>248</v>
      </c>
      <c r="E22" s="216">
        <v>26314</v>
      </c>
      <c r="F22" s="218">
        <f t="shared" si="0"/>
        <v>26.314</v>
      </c>
      <c r="G22" s="216">
        <v>53982</v>
      </c>
      <c r="H22" s="219">
        <f t="shared" si="1"/>
        <v>53.981999999999999</v>
      </c>
      <c r="I22" s="216">
        <v>80296</v>
      </c>
      <c r="J22" s="217">
        <f t="shared" si="2"/>
        <v>80.296000000000006</v>
      </c>
      <c r="K22" s="150">
        <v>0.32771246388363101</v>
      </c>
    </row>
    <row r="23" spans="1:11" x14ac:dyDescent="0.25">
      <c r="A23" s="220">
        <v>1586293</v>
      </c>
      <c r="B23" s="130" t="s">
        <v>235</v>
      </c>
      <c r="C23" s="130" t="s">
        <v>292</v>
      </c>
      <c r="D23" s="130" t="s">
        <v>293</v>
      </c>
      <c r="E23" s="216">
        <v>90200</v>
      </c>
      <c r="F23" s="218">
        <f t="shared" si="0"/>
        <v>90.2</v>
      </c>
      <c r="G23" s="216">
        <v>216</v>
      </c>
      <c r="H23" s="219">
        <f t="shared" si="1"/>
        <v>0.216</v>
      </c>
      <c r="I23" s="216">
        <v>90416</v>
      </c>
      <c r="J23" s="217">
        <f t="shared" si="2"/>
        <v>90.415999999999997</v>
      </c>
      <c r="K23" s="150">
        <v>0.99761104229339903</v>
      </c>
    </row>
    <row r="24" spans="1:11" x14ac:dyDescent="0.25">
      <c r="A24" s="220">
        <v>1611791</v>
      </c>
      <c r="B24" s="130" t="s">
        <v>242</v>
      </c>
      <c r="C24" s="130" t="s">
        <v>294</v>
      </c>
      <c r="D24" s="130" t="s">
        <v>295</v>
      </c>
      <c r="E24" s="216">
        <v>0</v>
      </c>
      <c r="F24" s="218">
        <f t="shared" si="0"/>
        <v>0</v>
      </c>
      <c r="G24" s="216">
        <v>43290</v>
      </c>
      <c r="H24" s="219">
        <f t="shared" si="1"/>
        <v>43.29</v>
      </c>
      <c r="I24" s="216">
        <v>43290</v>
      </c>
      <c r="J24" s="217">
        <f t="shared" si="2"/>
        <v>43.29</v>
      </c>
      <c r="K24" s="150">
        <v>0</v>
      </c>
    </row>
    <row r="25" spans="1:11" x14ac:dyDescent="0.25">
      <c r="A25" s="220">
        <v>1613144</v>
      </c>
      <c r="B25" s="130" t="s">
        <v>45</v>
      </c>
      <c r="C25" s="130" t="s">
        <v>296</v>
      </c>
      <c r="D25" s="130" t="s">
        <v>297</v>
      </c>
      <c r="E25" s="216">
        <v>10785</v>
      </c>
      <c r="F25" s="218">
        <f t="shared" si="0"/>
        <v>10.785</v>
      </c>
      <c r="G25" s="216">
        <v>31658</v>
      </c>
      <c r="H25" s="219">
        <f t="shared" si="1"/>
        <v>31.658000000000001</v>
      </c>
      <c r="I25" s="216">
        <v>42443</v>
      </c>
      <c r="J25" s="217">
        <f t="shared" si="2"/>
        <v>42.442999999999998</v>
      </c>
      <c r="K25" s="150">
        <v>0.254105506208326</v>
      </c>
    </row>
    <row r="26" spans="1:11" x14ac:dyDescent="0.25">
      <c r="A26" s="220">
        <v>1613945</v>
      </c>
      <c r="B26" s="130" t="s">
        <v>204</v>
      </c>
      <c r="C26" s="130" t="s">
        <v>298</v>
      </c>
      <c r="D26" s="130" t="s">
        <v>299</v>
      </c>
      <c r="E26" s="216">
        <v>114443</v>
      </c>
      <c r="F26" s="218">
        <f t="shared" si="0"/>
        <v>114.443</v>
      </c>
      <c r="G26" s="216">
        <v>74794</v>
      </c>
      <c r="H26" s="219">
        <f t="shared" si="1"/>
        <v>74.793999999999997</v>
      </c>
      <c r="I26" s="216">
        <v>189237</v>
      </c>
      <c r="J26" s="217">
        <f t="shared" si="2"/>
        <v>189.23699999999999</v>
      </c>
      <c r="K26" s="150">
        <v>0.604760168465998</v>
      </c>
    </row>
    <row r="27" spans="1:11" x14ac:dyDescent="0.25">
      <c r="A27" s="220">
        <v>1839601</v>
      </c>
      <c r="B27" s="130" t="s">
        <v>187</v>
      </c>
      <c r="C27" s="130" t="s">
        <v>300</v>
      </c>
      <c r="D27" s="130" t="s">
        <v>301</v>
      </c>
      <c r="E27" s="216">
        <v>154165</v>
      </c>
      <c r="F27" s="218">
        <f t="shared" si="0"/>
        <v>154.16499999999999</v>
      </c>
      <c r="G27" s="216">
        <v>411478</v>
      </c>
      <c r="H27" s="219">
        <f t="shared" si="1"/>
        <v>411.47800000000001</v>
      </c>
      <c r="I27" s="216">
        <v>565643</v>
      </c>
      <c r="J27" s="217">
        <f t="shared" si="2"/>
        <v>565.64300000000003</v>
      </c>
      <c r="K27" s="150">
        <v>0.27254823271922402</v>
      </c>
    </row>
    <row r="28" spans="1:11" x14ac:dyDescent="0.25">
      <c r="A28" s="220">
        <v>1970513</v>
      </c>
      <c r="B28" s="130" t="s">
        <v>237</v>
      </c>
      <c r="C28" s="130" t="s">
        <v>302</v>
      </c>
      <c r="D28" s="130" t="s">
        <v>303</v>
      </c>
      <c r="E28" s="216">
        <v>99898</v>
      </c>
      <c r="F28" s="218">
        <f t="shared" si="0"/>
        <v>99.897999999999996</v>
      </c>
      <c r="G28" s="216">
        <v>202363</v>
      </c>
      <c r="H28" s="219">
        <f t="shared" si="1"/>
        <v>202.363</v>
      </c>
      <c r="I28" s="216">
        <v>302261</v>
      </c>
      <c r="J28" s="217">
        <f t="shared" si="2"/>
        <v>302.26100000000002</v>
      </c>
      <c r="K28" s="150">
        <v>0.33050244656108502</v>
      </c>
    </row>
    <row r="29" spans="1:11" x14ac:dyDescent="0.25">
      <c r="A29" s="220">
        <v>2144619</v>
      </c>
      <c r="B29" s="130" t="s">
        <v>207</v>
      </c>
      <c r="C29" s="130" t="s">
        <v>304</v>
      </c>
      <c r="D29" s="130" t="s">
        <v>305</v>
      </c>
      <c r="E29" s="216">
        <v>326685</v>
      </c>
      <c r="F29" s="218">
        <f t="shared" si="0"/>
        <v>326.685</v>
      </c>
      <c r="G29" s="216">
        <v>479036</v>
      </c>
      <c r="H29" s="219">
        <f t="shared" si="1"/>
        <v>479.036</v>
      </c>
      <c r="I29" s="216">
        <v>805721</v>
      </c>
      <c r="J29" s="217">
        <f t="shared" si="2"/>
        <v>805.721</v>
      </c>
      <c r="K29" s="150">
        <v>0.40545672757691598</v>
      </c>
    </row>
    <row r="30" spans="1:11" x14ac:dyDescent="0.25">
      <c r="A30" s="220">
        <v>2155984</v>
      </c>
      <c r="B30" s="130" t="s">
        <v>220</v>
      </c>
      <c r="C30" s="130" t="s">
        <v>306</v>
      </c>
      <c r="D30" s="130" t="s">
        <v>307</v>
      </c>
      <c r="E30" s="216">
        <v>0</v>
      </c>
      <c r="F30" s="218">
        <f t="shared" si="0"/>
        <v>0</v>
      </c>
      <c r="G30" s="216">
        <v>13170</v>
      </c>
      <c r="H30" s="219">
        <f t="shared" si="1"/>
        <v>13.17</v>
      </c>
      <c r="I30" s="216">
        <v>13170</v>
      </c>
      <c r="J30" s="217">
        <f t="shared" si="2"/>
        <v>13.17</v>
      </c>
      <c r="K30" s="150">
        <v>0</v>
      </c>
    </row>
    <row r="31" spans="1:11" x14ac:dyDescent="0.25">
      <c r="A31" s="220">
        <v>2161308</v>
      </c>
      <c r="B31" s="130" t="s">
        <v>203</v>
      </c>
      <c r="C31" s="130" t="s">
        <v>308</v>
      </c>
      <c r="D31" s="130" t="s">
        <v>309</v>
      </c>
      <c r="E31" s="216">
        <v>32520</v>
      </c>
      <c r="F31" s="218">
        <f t="shared" si="0"/>
        <v>32.520000000000003</v>
      </c>
      <c r="G31" s="216">
        <v>315956</v>
      </c>
      <c r="H31" s="219">
        <f t="shared" si="1"/>
        <v>315.95600000000002</v>
      </c>
      <c r="I31" s="216">
        <v>348476</v>
      </c>
      <c r="J31" s="217">
        <f t="shared" si="2"/>
        <v>348.476</v>
      </c>
      <c r="K31" s="150">
        <v>9.3320630402093693E-2</v>
      </c>
    </row>
    <row r="32" spans="1:11" x14ac:dyDescent="0.25">
      <c r="A32" s="220">
        <v>2162953</v>
      </c>
      <c r="B32" s="130" t="s">
        <v>200</v>
      </c>
      <c r="C32" s="130" t="s">
        <v>310</v>
      </c>
      <c r="D32" s="130" t="s">
        <v>290</v>
      </c>
      <c r="E32" s="216">
        <v>17040</v>
      </c>
      <c r="F32" s="218">
        <f t="shared" si="0"/>
        <v>17.04</v>
      </c>
      <c r="G32" s="216">
        <v>1900</v>
      </c>
      <c r="H32" s="219">
        <f t="shared" si="1"/>
        <v>1.9</v>
      </c>
      <c r="I32" s="216">
        <v>18940</v>
      </c>
      <c r="J32" s="217">
        <f t="shared" si="2"/>
        <v>18.940000000000001</v>
      </c>
      <c r="K32" s="150">
        <v>0.89968321013727603</v>
      </c>
    </row>
    <row r="33" spans="1:11" x14ac:dyDescent="0.25">
      <c r="A33" s="220">
        <v>2162988</v>
      </c>
      <c r="B33" s="130" t="s">
        <v>199</v>
      </c>
      <c r="C33" s="130" t="s">
        <v>311</v>
      </c>
      <c r="D33" s="130" t="s">
        <v>312</v>
      </c>
      <c r="E33" s="216">
        <v>195052</v>
      </c>
      <c r="F33" s="218">
        <f t="shared" si="0"/>
        <v>195.05199999999999</v>
      </c>
      <c r="G33" s="216">
        <v>375758</v>
      </c>
      <c r="H33" s="219">
        <f t="shared" si="1"/>
        <v>375.75799999999998</v>
      </c>
      <c r="I33" s="216">
        <v>570810</v>
      </c>
      <c r="J33" s="217">
        <f t="shared" si="2"/>
        <v>570.80999999999995</v>
      </c>
      <c r="K33" s="150">
        <v>0.34171090205147098</v>
      </c>
    </row>
    <row r="34" spans="1:11" x14ac:dyDescent="0.25">
      <c r="A34" s="220">
        <v>2163049</v>
      </c>
      <c r="B34" s="130" t="s">
        <v>4</v>
      </c>
      <c r="C34" s="130" t="s">
        <v>313</v>
      </c>
      <c r="D34" s="130" t="s">
        <v>314</v>
      </c>
      <c r="E34" s="216">
        <v>57000</v>
      </c>
      <c r="F34" s="218">
        <f t="shared" ref="F34:F52" si="3">+E34/1000</f>
        <v>57</v>
      </c>
      <c r="G34" s="216">
        <v>6860</v>
      </c>
      <c r="H34" s="219">
        <f t="shared" ref="H34:H52" si="4">+G34/1000</f>
        <v>6.86</v>
      </c>
      <c r="I34" s="216">
        <v>63860</v>
      </c>
      <c r="J34" s="217">
        <f t="shared" ref="J34:J52" si="5">+I34/1000</f>
        <v>63.86</v>
      </c>
      <c r="K34" s="150">
        <v>0.89257751331036606</v>
      </c>
    </row>
    <row r="35" spans="1:11" x14ac:dyDescent="0.25">
      <c r="A35" s="220">
        <v>2163076</v>
      </c>
      <c r="B35" s="130" t="s">
        <v>46</v>
      </c>
      <c r="C35" s="130" t="s">
        <v>315</v>
      </c>
      <c r="D35" s="130" t="s">
        <v>316</v>
      </c>
      <c r="E35" s="216">
        <v>208919</v>
      </c>
      <c r="F35" s="218">
        <f t="shared" si="3"/>
        <v>208.91900000000001</v>
      </c>
      <c r="G35" s="216">
        <v>10670</v>
      </c>
      <c r="H35" s="219">
        <f t="shared" si="4"/>
        <v>10.67</v>
      </c>
      <c r="I35" s="216">
        <v>219589</v>
      </c>
      <c r="J35" s="217">
        <f t="shared" si="5"/>
        <v>219.589</v>
      </c>
      <c r="K35" s="150">
        <v>0.95140922359498903</v>
      </c>
    </row>
    <row r="36" spans="1:11" x14ac:dyDescent="0.25">
      <c r="A36" s="220">
        <v>2163130</v>
      </c>
      <c r="B36" s="130" t="s">
        <v>191</v>
      </c>
      <c r="C36" s="130" t="s">
        <v>317</v>
      </c>
      <c r="D36" s="130" t="s">
        <v>263</v>
      </c>
      <c r="E36" s="216">
        <v>307662</v>
      </c>
      <c r="F36" s="218">
        <f t="shared" si="3"/>
        <v>307.66199999999998</v>
      </c>
      <c r="G36" s="216">
        <v>197364</v>
      </c>
      <c r="H36" s="219">
        <f t="shared" si="4"/>
        <v>197.364</v>
      </c>
      <c r="I36" s="216">
        <v>505026</v>
      </c>
      <c r="J36" s="217">
        <f t="shared" si="5"/>
        <v>505.02600000000001</v>
      </c>
      <c r="K36" s="150">
        <v>0.60920031839944899</v>
      </c>
    </row>
    <row r="37" spans="1:11" x14ac:dyDescent="0.25">
      <c r="A37" s="220">
        <v>2164133</v>
      </c>
      <c r="B37" s="130" t="s">
        <v>189</v>
      </c>
      <c r="C37" s="130" t="s">
        <v>318</v>
      </c>
      <c r="D37" s="130" t="s">
        <v>319</v>
      </c>
      <c r="E37" s="216">
        <v>725094</v>
      </c>
      <c r="F37" s="218">
        <f t="shared" si="3"/>
        <v>725.09400000000005</v>
      </c>
      <c r="G37" s="216">
        <v>63895</v>
      </c>
      <c r="H37" s="219">
        <f t="shared" si="4"/>
        <v>63.895000000000003</v>
      </c>
      <c r="I37" s="216">
        <v>788989</v>
      </c>
      <c r="J37" s="217">
        <f t="shared" si="5"/>
        <v>788.98900000000003</v>
      </c>
      <c r="K37" s="150">
        <v>0.91901661493379505</v>
      </c>
    </row>
    <row r="38" spans="1:11" x14ac:dyDescent="0.25">
      <c r="A38" s="220">
        <v>2164274</v>
      </c>
      <c r="B38" s="130" t="s">
        <v>209</v>
      </c>
      <c r="C38" s="130" t="s">
        <v>320</v>
      </c>
      <c r="D38" s="130" t="s">
        <v>321</v>
      </c>
      <c r="E38" s="216">
        <v>144890</v>
      </c>
      <c r="F38" s="218">
        <f t="shared" si="3"/>
        <v>144.88999999999999</v>
      </c>
      <c r="G38" s="216">
        <v>132179</v>
      </c>
      <c r="H38" s="219">
        <f t="shared" si="4"/>
        <v>132.179</v>
      </c>
      <c r="I38" s="216">
        <v>277069</v>
      </c>
      <c r="J38" s="217">
        <f t="shared" si="5"/>
        <v>277.06900000000002</v>
      </c>
      <c r="K38" s="150">
        <v>0.52293832944140295</v>
      </c>
    </row>
    <row r="39" spans="1:11" x14ac:dyDescent="0.25">
      <c r="A39" s="220">
        <v>2164335</v>
      </c>
      <c r="B39" s="130" t="s">
        <v>202</v>
      </c>
      <c r="C39" s="130" t="s">
        <v>322</v>
      </c>
      <c r="D39" s="130" t="s">
        <v>323</v>
      </c>
      <c r="E39" s="216">
        <v>57136</v>
      </c>
      <c r="F39" s="218">
        <f t="shared" si="3"/>
        <v>57.136000000000003</v>
      </c>
      <c r="G39" s="216">
        <v>457319</v>
      </c>
      <c r="H39" s="219">
        <f t="shared" si="4"/>
        <v>457.31900000000002</v>
      </c>
      <c r="I39" s="216">
        <v>514455</v>
      </c>
      <c r="J39" s="217">
        <f t="shared" si="5"/>
        <v>514.45500000000004</v>
      </c>
      <c r="K39" s="150">
        <v>0.11106122012615301</v>
      </c>
    </row>
    <row r="40" spans="1:11" x14ac:dyDescent="0.25">
      <c r="A40" s="220">
        <v>2167011</v>
      </c>
      <c r="B40" s="130" t="s">
        <v>193</v>
      </c>
      <c r="C40" s="130" t="s">
        <v>324</v>
      </c>
      <c r="D40" s="130" t="s">
        <v>325</v>
      </c>
      <c r="E40" s="216">
        <v>76588</v>
      </c>
      <c r="F40" s="218">
        <f t="shared" si="3"/>
        <v>76.587999999999994</v>
      </c>
      <c r="G40" s="216">
        <v>1421280</v>
      </c>
      <c r="H40" s="219">
        <f t="shared" si="4"/>
        <v>1421.28</v>
      </c>
      <c r="I40" s="216">
        <v>1497868</v>
      </c>
      <c r="J40" s="217">
        <f t="shared" si="5"/>
        <v>1497.8679999999999</v>
      </c>
      <c r="K40" s="150">
        <v>5.1131341346500499E-2</v>
      </c>
    </row>
    <row r="41" spans="1:11" x14ac:dyDescent="0.25">
      <c r="A41" s="220">
        <v>2171935</v>
      </c>
      <c r="B41" s="130" t="s">
        <v>326</v>
      </c>
      <c r="C41" s="130" t="s">
        <v>327</v>
      </c>
      <c r="D41" s="130" t="s">
        <v>328</v>
      </c>
      <c r="E41" s="216">
        <v>0</v>
      </c>
      <c r="F41" s="218">
        <f t="shared" si="3"/>
        <v>0</v>
      </c>
      <c r="G41" s="216">
        <v>114316</v>
      </c>
      <c r="H41" s="219">
        <f t="shared" si="4"/>
        <v>114.316</v>
      </c>
      <c r="I41" s="216">
        <v>114316</v>
      </c>
      <c r="J41" s="217">
        <f t="shared" si="5"/>
        <v>114.316</v>
      </c>
      <c r="K41" s="150">
        <v>0</v>
      </c>
    </row>
    <row r="42" spans="1:11" x14ac:dyDescent="0.25">
      <c r="A42" s="220">
        <v>2174467</v>
      </c>
      <c r="B42" s="130" t="s">
        <v>201</v>
      </c>
      <c r="C42" s="130" t="s">
        <v>329</v>
      </c>
      <c r="D42" s="130" t="s">
        <v>330</v>
      </c>
      <c r="E42" s="216">
        <v>327139</v>
      </c>
      <c r="F42" s="218">
        <f t="shared" si="3"/>
        <v>327.13900000000001</v>
      </c>
      <c r="G42" s="216">
        <v>549676</v>
      </c>
      <c r="H42" s="219">
        <f t="shared" si="4"/>
        <v>549.67600000000004</v>
      </c>
      <c r="I42" s="216">
        <v>876815</v>
      </c>
      <c r="J42" s="217">
        <f t="shared" si="5"/>
        <v>876.81500000000005</v>
      </c>
      <c r="K42" s="150">
        <v>0.37309922845754201</v>
      </c>
    </row>
    <row r="43" spans="1:11" x14ac:dyDescent="0.25">
      <c r="A43" s="220">
        <v>2180848</v>
      </c>
      <c r="B43" s="130" t="s">
        <v>223</v>
      </c>
      <c r="C43" s="130" t="s">
        <v>331</v>
      </c>
      <c r="D43" s="130" t="s">
        <v>332</v>
      </c>
      <c r="E43" s="216">
        <v>0</v>
      </c>
      <c r="F43" s="218">
        <f t="shared" si="3"/>
        <v>0</v>
      </c>
      <c r="G43" s="216">
        <v>32320</v>
      </c>
      <c r="H43" s="219">
        <f t="shared" si="4"/>
        <v>32.32</v>
      </c>
      <c r="I43" s="216">
        <v>32320</v>
      </c>
      <c r="J43" s="217">
        <f t="shared" si="5"/>
        <v>32.32</v>
      </c>
      <c r="K43" s="150">
        <v>0</v>
      </c>
    </row>
    <row r="44" spans="1:11" x14ac:dyDescent="0.25">
      <c r="A44" s="220">
        <v>2214784</v>
      </c>
      <c r="B44" s="130" t="s">
        <v>203</v>
      </c>
      <c r="C44" s="130" t="s">
        <v>333</v>
      </c>
      <c r="D44" s="130" t="s">
        <v>309</v>
      </c>
      <c r="E44" s="216">
        <v>70278</v>
      </c>
      <c r="F44" s="218">
        <f t="shared" si="3"/>
        <v>70.278000000000006</v>
      </c>
      <c r="G44" s="216">
        <v>404391</v>
      </c>
      <c r="H44" s="219">
        <f t="shared" si="4"/>
        <v>404.39100000000002</v>
      </c>
      <c r="I44" s="216">
        <v>474669</v>
      </c>
      <c r="J44" s="217">
        <f t="shared" si="5"/>
        <v>474.66899999999998</v>
      </c>
      <c r="K44" s="150">
        <v>0.148056856462082</v>
      </c>
    </row>
    <row r="45" spans="1:11" x14ac:dyDescent="0.25">
      <c r="A45" s="220">
        <v>2222649</v>
      </c>
      <c r="B45" s="130" t="s">
        <v>219</v>
      </c>
      <c r="C45" s="130" t="s">
        <v>334</v>
      </c>
      <c r="D45" s="130" t="s">
        <v>312</v>
      </c>
      <c r="E45" s="216">
        <v>81368</v>
      </c>
      <c r="F45" s="218">
        <f t="shared" si="3"/>
        <v>81.367999999999995</v>
      </c>
      <c r="G45" s="216">
        <v>553954</v>
      </c>
      <c r="H45" s="219">
        <f t="shared" si="4"/>
        <v>553.95399999999995</v>
      </c>
      <c r="I45" s="216">
        <v>635322</v>
      </c>
      <c r="J45" s="217">
        <f t="shared" si="5"/>
        <v>635.322</v>
      </c>
      <c r="K45" s="150">
        <v>0.12807363824958101</v>
      </c>
    </row>
    <row r="46" spans="1:11" x14ac:dyDescent="0.25">
      <c r="A46" s="220">
        <v>2232789</v>
      </c>
      <c r="B46" s="130" t="s">
        <v>335</v>
      </c>
      <c r="C46" s="130" t="s">
        <v>336</v>
      </c>
      <c r="D46" s="130" t="s">
        <v>337</v>
      </c>
      <c r="E46" s="216">
        <v>900</v>
      </c>
      <c r="F46" s="218">
        <f t="shared" si="3"/>
        <v>0.9</v>
      </c>
      <c r="G46" s="216">
        <v>109152</v>
      </c>
      <c r="H46" s="219">
        <f t="shared" si="4"/>
        <v>109.152</v>
      </c>
      <c r="I46" s="216">
        <v>110052</v>
      </c>
      <c r="J46" s="217">
        <f t="shared" si="5"/>
        <v>110.05200000000001</v>
      </c>
      <c r="K46" s="150">
        <v>8.1779522407589098E-3</v>
      </c>
    </row>
    <row r="47" spans="1:11" x14ac:dyDescent="0.25">
      <c r="A47" s="220">
        <v>2242256</v>
      </c>
      <c r="B47" s="130" t="s">
        <v>224</v>
      </c>
      <c r="C47" s="130" t="s">
        <v>338</v>
      </c>
      <c r="D47" s="130" t="s">
        <v>312</v>
      </c>
      <c r="E47" s="216">
        <v>14754</v>
      </c>
      <c r="F47" s="218">
        <f t="shared" si="3"/>
        <v>14.754</v>
      </c>
      <c r="G47" s="216">
        <v>49717</v>
      </c>
      <c r="H47" s="219">
        <f t="shared" si="4"/>
        <v>49.716999999999999</v>
      </c>
      <c r="I47" s="216">
        <v>64471</v>
      </c>
      <c r="J47" s="217">
        <f t="shared" si="5"/>
        <v>64.471000000000004</v>
      </c>
      <c r="K47" s="150">
        <v>0.22884707853143299</v>
      </c>
    </row>
    <row r="48" spans="1:11" x14ac:dyDescent="0.25">
      <c r="A48" s="220">
        <v>2243447</v>
      </c>
      <c r="B48" s="130" t="s">
        <v>244</v>
      </c>
      <c r="C48" s="130" t="s">
        <v>339</v>
      </c>
      <c r="D48" s="130" t="s">
        <v>340</v>
      </c>
      <c r="E48" s="216">
        <v>1000</v>
      </c>
      <c r="F48" s="218">
        <f t="shared" si="3"/>
        <v>1</v>
      </c>
      <c r="G48" s="216">
        <v>44730</v>
      </c>
      <c r="H48" s="219">
        <f t="shared" si="4"/>
        <v>44.73</v>
      </c>
      <c r="I48" s="216">
        <v>45730</v>
      </c>
      <c r="J48" s="217">
        <f t="shared" si="5"/>
        <v>45.73</v>
      </c>
      <c r="K48" s="150">
        <v>2.1867483052700601E-2</v>
      </c>
    </row>
    <row r="49" spans="1:11" x14ac:dyDescent="0.25">
      <c r="A49" s="220">
        <v>2251036</v>
      </c>
      <c r="B49" s="130" t="s">
        <v>341</v>
      </c>
      <c r="C49" s="130" t="s">
        <v>342</v>
      </c>
      <c r="D49" s="130" t="s">
        <v>343</v>
      </c>
      <c r="E49" s="216">
        <v>0</v>
      </c>
      <c r="F49" s="218">
        <f t="shared" si="3"/>
        <v>0</v>
      </c>
      <c r="G49" s="216">
        <v>44400</v>
      </c>
      <c r="H49" s="219">
        <f t="shared" si="4"/>
        <v>44.4</v>
      </c>
      <c r="I49" s="216">
        <v>44400</v>
      </c>
      <c r="J49" s="217">
        <f t="shared" si="5"/>
        <v>44.4</v>
      </c>
      <c r="K49" s="150">
        <v>0</v>
      </c>
    </row>
    <row r="50" spans="1:11" x14ac:dyDescent="0.25">
      <c r="A50" s="220">
        <v>2312561</v>
      </c>
      <c r="B50" s="130" t="s">
        <v>236</v>
      </c>
      <c r="C50" s="130" t="s">
        <v>344</v>
      </c>
      <c r="D50" s="130" t="s">
        <v>312</v>
      </c>
      <c r="E50" s="216">
        <v>600</v>
      </c>
      <c r="F50" s="218">
        <f t="shared" si="3"/>
        <v>0.6</v>
      </c>
      <c r="G50" s="216">
        <v>14920</v>
      </c>
      <c r="H50" s="219">
        <f t="shared" si="4"/>
        <v>14.92</v>
      </c>
      <c r="I50" s="216">
        <v>15520</v>
      </c>
      <c r="J50" s="217">
        <f t="shared" si="5"/>
        <v>15.52</v>
      </c>
      <c r="K50" s="150">
        <v>3.8659793814432998E-2</v>
      </c>
    </row>
    <row r="51" spans="1:11" x14ac:dyDescent="0.25">
      <c r="A51" s="220">
        <v>2329044</v>
      </c>
      <c r="B51" s="130" t="s">
        <v>243</v>
      </c>
      <c r="C51" s="130" t="s">
        <v>345</v>
      </c>
      <c r="D51" s="130" t="s">
        <v>307</v>
      </c>
      <c r="E51" s="216">
        <v>4980</v>
      </c>
      <c r="F51" s="218">
        <f t="shared" si="3"/>
        <v>4.9800000000000004</v>
      </c>
      <c r="G51" s="216">
        <v>4384</v>
      </c>
      <c r="H51" s="219">
        <f t="shared" si="4"/>
        <v>4.3840000000000003</v>
      </c>
      <c r="I51" s="216">
        <v>9364</v>
      </c>
      <c r="J51" s="217">
        <f t="shared" si="5"/>
        <v>9.3640000000000008</v>
      </c>
      <c r="K51" s="150">
        <v>0.531824006834686</v>
      </c>
    </row>
    <row r="52" spans="1:11" x14ac:dyDescent="0.25">
      <c r="A52" s="220">
        <v>2347486</v>
      </c>
      <c r="B52" s="130" t="s">
        <v>65</v>
      </c>
      <c r="C52" s="130" t="s">
        <v>346</v>
      </c>
      <c r="D52" s="130" t="s">
        <v>347</v>
      </c>
      <c r="E52" s="216">
        <v>0</v>
      </c>
      <c r="F52" s="218">
        <f t="shared" si="3"/>
        <v>0</v>
      </c>
      <c r="G52" s="216">
        <v>8430</v>
      </c>
      <c r="H52" s="219">
        <f t="shared" si="4"/>
        <v>8.43</v>
      </c>
      <c r="I52" s="216">
        <v>8430</v>
      </c>
      <c r="J52" s="217">
        <f t="shared" si="5"/>
        <v>8.43</v>
      </c>
      <c r="K52" s="150">
        <v>0</v>
      </c>
    </row>
  </sheetData>
  <autoFilter ref="A1:K52" xr:uid="{93EC7BBC-FF66-42FC-9726-100CC391C4C6}">
    <sortState xmlns:xlrd2="http://schemas.microsoft.com/office/spreadsheetml/2017/richdata2" ref="A2:K52">
      <sortCondition ref="A1:A52"/>
    </sortState>
  </autoFilter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851CF-AEB1-4BE0-B874-F31788E6AF30}">
  <dimension ref="A1:I62"/>
  <sheetViews>
    <sheetView showGridLines="0" topLeftCell="A25" workbookViewId="0">
      <selection activeCell="N12" sqref="N12"/>
    </sheetView>
  </sheetViews>
  <sheetFormatPr defaultColWidth="8.7109375" defaultRowHeight="15" x14ac:dyDescent="0.25"/>
  <cols>
    <col min="1" max="2" width="14.85546875" style="194" customWidth="1"/>
    <col min="3" max="3" width="54.42578125" style="194" customWidth="1"/>
    <col min="4" max="4" width="16.140625" style="194" customWidth="1"/>
    <col min="5" max="5" width="8.140625" style="194" customWidth="1"/>
    <col min="6" max="8" width="16.140625" style="194" customWidth="1"/>
    <col min="9" max="10" width="13.42578125" style="194" customWidth="1"/>
    <col min="11" max="16384" width="8.7109375" style="194"/>
  </cols>
  <sheetData>
    <row r="1" spans="1:9" ht="14.1" customHeight="1" x14ac:dyDescent="0.25">
      <c r="A1" s="236" t="s">
        <v>230</v>
      </c>
      <c r="B1" s="237"/>
      <c r="C1" s="237"/>
      <c r="D1" s="237"/>
      <c r="E1" s="237"/>
    </row>
    <row r="2" spans="1:9" ht="14.1" customHeight="1" x14ac:dyDescent="0.25">
      <c r="A2" s="238" t="s">
        <v>247</v>
      </c>
      <c r="B2" s="237"/>
      <c r="C2" s="237"/>
      <c r="D2" s="237"/>
      <c r="E2" s="237"/>
    </row>
    <row r="3" spans="1:9" ht="7.15" customHeight="1" x14ac:dyDescent="0.25"/>
    <row r="4" spans="1:9" x14ac:dyDescent="0.25">
      <c r="A4" s="196" t="s">
        <v>128</v>
      </c>
      <c r="B4" s="195" t="s">
        <v>128</v>
      </c>
      <c r="C4" s="197" t="s">
        <v>128</v>
      </c>
      <c r="D4" s="239" t="s">
        <v>129</v>
      </c>
      <c r="E4" s="240"/>
      <c r="F4" s="240"/>
      <c r="G4" s="240"/>
      <c r="H4" s="241"/>
      <c r="I4" s="198" t="s">
        <v>130</v>
      </c>
    </row>
    <row r="5" spans="1:9" x14ac:dyDescent="0.25">
      <c r="A5" s="199" t="s">
        <v>227</v>
      </c>
      <c r="B5" s="200" t="s">
        <v>131</v>
      </c>
      <c r="C5" s="201" t="s">
        <v>132</v>
      </c>
      <c r="D5" s="202" t="s">
        <v>2</v>
      </c>
      <c r="E5" s="202" t="s">
        <v>136</v>
      </c>
      <c r="F5" s="202" t="s">
        <v>133</v>
      </c>
      <c r="G5" s="202" t="s">
        <v>134</v>
      </c>
      <c r="H5" s="203" t="s">
        <v>135</v>
      </c>
      <c r="I5" s="204" t="s">
        <v>137</v>
      </c>
    </row>
    <row r="6" spans="1:9" x14ac:dyDescent="0.25">
      <c r="A6" s="196" t="s">
        <v>228</v>
      </c>
      <c r="B6" s="195">
        <v>200011554</v>
      </c>
      <c r="C6" s="197" t="s">
        <v>20</v>
      </c>
      <c r="D6" s="206">
        <v>1940.9159999999999</v>
      </c>
      <c r="E6" s="213">
        <v>39.25</v>
      </c>
      <c r="F6" s="207">
        <v>1901.6659999999999</v>
      </c>
      <c r="G6" s="208">
        <v>1899.6659999999999</v>
      </c>
      <c r="H6" s="205">
        <v>0.99894829060413348</v>
      </c>
      <c r="I6" s="209">
        <v>861281.86800000002</v>
      </c>
    </row>
    <row r="7" spans="1:9" x14ac:dyDescent="0.25">
      <c r="A7" s="196" t="s">
        <v>228</v>
      </c>
      <c r="B7" s="195">
        <v>200012124</v>
      </c>
      <c r="C7" s="197" t="s">
        <v>138</v>
      </c>
      <c r="D7" s="206">
        <v>2910.14</v>
      </c>
      <c r="E7" s="208">
        <v>43.7</v>
      </c>
      <c r="F7" s="207">
        <v>2866.44</v>
      </c>
      <c r="G7" s="208">
        <v>2643.192</v>
      </c>
      <c r="H7" s="205">
        <v>0.92211663247791686</v>
      </c>
      <c r="I7" s="209">
        <v>975833.11100000003</v>
      </c>
    </row>
    <row r="8" spans="1:9" x14ac:dyDescent="0.25">
      <c r="A8" s="196" t="s">
        <v>228</v>
      </c>
      <c r="B8" s="195">
        <v>200012834</v>
      </c>
      <c r="C8" s="197" t="s">
        <v>3</v>
      </c>
      <c r="D8" s="206">
        <v>1624.3409999999999</v>
      </c>
      <c r="E8" s="208">
        <v>33.58</v>
      </c>
      <c r="F8" s="207">
        <v>1590.761</v>
      </c>
      <c r="G8" s="208">
        <v>1272.7539999999999</v>
      </c>
      <c r="H8" s="205">
        <v>0.80009127706801964</v>
      </c>
      <c r="I8" s="209">
        <v>401923.74699999997</v>
      </c>
    </row>
    <row r="9" spans="1:9" x14ac:dyDescent="0.25">
      <c r="A9" s="196" t="s">
        <v>228</v>
      </c>
      <c r="B9" s="195">
        <v>200012841</v>
      </c>
      <c r="C9" s="197" t="s">
        <v>139</v>
      </c>
      <c r="D9" s="206">
        <v>1567.5119999999999</v>
      </c>
      <c r="E9" s="208">
        <v>40.590000000000003</v>
      </c>
      <c r="F9" s="207">
        <v>1526.922</v>
      </c>
      <c r="G9" s="208">
        <v>1351.009</v>
      </c>
      <c r="H9" s="205">
        <v>0.88479241244804907</v>
      </c>
      <c r="I9" s="209">
        <v>490953.77149999997</v>
      </c>
    </row>
    <row r="10" spans="1:9" x14ac:dyDescent="0.25">
      <c r="A10" s="196" t="s">
        <v>228</v>
      </c>
      <c r="B10" s="195">
        <v>200021706</v>
      </c>
      <c r="C10" s="197" t="s">
        <v>140</v>
      </c>
      <c r="D10" s="206">
        <v>1609.116</v>
      </c>
      <c r="E10" s="208">
        <v>44.625</v>
      </c>
      <c r="F10" s="207">
        <v>1564.491</v>
      </c>
      <c r="G10" s="208">
        <v>1456.97</v>
      </c>
      <c r="H10" s="205">
        <v>0.93127413324844954</v>
      </c>
      <c r="I10" s="209">
        <v>376350.76899999997</v>
      </c>
    </row>
    <row r="11" spans="1:9" x14ac:dyDescent="0.25">
      <c r="A11" s="196" t="s">
        <v>228</v>
      </c>
      <c r="B11" s="195">
        <v>200023854</v>
      </c>
      <c r="C11" s="197" t="s">
        <v>80</v>
      </c>
      <c r="D11" s="206">
        <v>2920.692</v>
      </c>
      <c r="E11" s="208">
        <v>356.5</v>
      </c>
      <c r="F11" s="207">
        <v>2564.192</v>
      </c>
      <c r="G11" s="208">
        <v>1385.0530000000001</v>
      </c>
      <c r="H11" s="205">
        <v>0.54015182950418694</v>
      </c>
      <c r="I11" s="209">
        <v>121939.276</v>
      </c>
    </row>
    <row r="12" spans="1:9" x14ac:dyDescent="0.25">
      <c r="A12" s="196" t="s">
        <v>228</v>
      </c>
      <c r="B12" s="195">
        <v>200025919</v>
      </c>
      <c r="C12" s="197" t="s">
        <v>4</v>
      </c>
      <c r="D12" s="206">
        <v>1793.63</v>
      </c>
      <c r="E12" s="208">
        <v>56.11</v>
      </c>
      <c r="F12" s="207">
        <v>1737.52</v>
      </c>
      <c r="G12" s="208">
        <v>1733.01</v>
      </c>
      <c r="H12" s="205">
        <v>0.99740434642478937</v>
      </c>
      <c r="I12" s="209">
        <v>504213.424</v>
      </c>
    </row>
    <row r="13" spans="1:9" x14ac:dyDescent="0.25">
      <c r="A13" s="196" t="s">
        <v>228</v>
      </c>
      <c r="B13" s="195">
        <v>200025926</v>
      </c>
      <c r="C13" s="197" t="s">
        <v>5</v>
      </c>
      <c r="D13" s="206">
        <v>3302.0410000000002</v>
      </c>
      <c r="E13" s="208">
        <v>112.02</v>
      </c>
      <c r="F13" s="207">
        <v>3190.0210000000002</v>
      </c>
      <c r="G13" s="208">
        <v>2577.123</v>
      </c>
      <c r="H13" s="205">
        <v>0.80787023032136784</v>
      </c>
      <c r="I13" s="209">
        <v>821980.25399999996</v>
      </c>
    </row>
    <row r="14" spans="1:9" x14ac:dyDescent="0.25">
      <c r="A14" s="196" t="s">
        <v>228</v>
      </c>
      <c r="B14" s="195">
        <v>200031514</v>
      </c>
      <c r="C14" s="197" t="s">
        <v>141</v>
      </c>
      <c r="D14" s="206">
        <v>2307.3409999999999</v>
      </c>
      <c r="E14" s="208">
        <v>7.25</v>
      </c>
      <c r="F14" s="207">
        <v>2300.0909999999999</v>
      </c>
      <c r="G14" s="208">
        <v>1399.0229999999999</v>
      </c>
      <c r="H14" s="205">
        <v>0.60824680414818366</v>
      </c>
      <c r="I14" s="209">
        <v>339567.03200000001</v>
      </c>
    </row>
    <row r="15" spans="1:9" x14ac:dyDescent="0.25">
      <c r="A15" s="196" t="s">
        <v>228</v>
      </c>
      <c r="B15" s="195">
        <v>200031620</v>
      </c>
      <c r="C15" s="197" t="s">
        <v>142</v>
      </c>
      <c r="D15" s="206">
        <v>1011.3049999999999</v>
      </c>
      <c r="E15" s="208">
        <v>147.15199999999999</v>
      </c>
      <c r="F15" s="207">
        <v>864.15300000000002</v>
      </c>
      <c r="G15" s="208">
        <v>789.27700000000004</v>
      </c>
      <c r="H15" s="205">
        <v>0.91335330664824399</v>
      </c>
      <c r="I15" s="209">
        <v>397783.37800000003</v>
      </c>
    </row>
    <row r="16" spans="1:9" x14ac:dyDescent="0.25">
      <c r="A16" s="196" t="s">
        <v>228</v>
      </c>
      <c r="B16" s="195">
        <v>200031637</v>
      </c>
      <c r="C16" s="197" t="s">
        <v>143</v>
      </c>
      <c r="D16" s="206">
        <v>629.20399999999995</v>
      </c>
      <c r="E16" s="208">
        <v>23.43</v>
      </c>
      <c r="F16" s="207">
        <v>605.774</v>
      </c>
      <c r="G16" s="208">
        <v>88.730999999999995</v>
      </c>
      <c r="H16" s="205">
        <v>0.14647541822527874</v>
      </c>
      <c r="I16" s="209">
        <v>43960.76</v>
      </c>
    </row>
    <row r="17" spans="1:9" x14ac:dyDescent="0.25">
      <c r="A17" s="196" t="s">
        <v>228</v>
      </c>
      <c r="B17" s="195">
        <v>200034485</v>
      </c>
      <c r="C17" s="197" t="s">
        <v>6</v>
      </c>
      <c r="D17" s="206">
        <v>1679.9349999999999</v>
      </c>
      <c r="E17" s="208">
        <v>81.459999999999994</v>
      </c>
      <c r="F17" s="207">
        <v>1598.4749999999999</v>
      </c>
      <c r="G17" s="208">
        <v>1597.4749999999999</v>
      </c>
      <c r="H17" s="205">
        <v>0.9993744037285538</v>
      </c>
      <c r="I17" s="209">
        <v>333738.26799999998</v>
      </c>
    </row>
    <row r="18" spans="1:9" x14ac:dyDescent="0.25">
      <c r="A18" s="196" t="s">
        <v>228</v>
      </c>
      <c r="B18" s="195">
        <v>200039428</v>
      </c>
      <c r="C18" s="197" t="s">
        <v>214</v>
      </c>
      <c r="D18" s="206">
        <v>936.23299999999995</v>
      </c>
      <c r="E18" s="208">
        <v>2.4</v>
      </c>
      <c r="F18" s="207">
        <v>933.83299999999997</v>
      </c>
      <c r="G18" s="208">
        <v>659.95899999999995</v>
      </c>
      <c r="H18" s="205">
        <v>0.70672058066056775</v>
      </c>
      <c r="I18" s="209">
        <v>207282.88500000001</v>
      </c>
    </row>
    <row r="19" spans="1:9" x14ac:dyDescent="0.25">
      <c r="A19" s="196" t="s">
        <v>228</v>
      </c>
      <c r="B19" s="195">
        <v>200040189</v>
      </c>
      <c r="C19" s="197" t="s">
        <v>7</v>
      </c>
      <c r="D19" s="206">
        <v>1372.182</v>
      </c>
      <c r="E19" s="208">
        <v>42.984999999999999</v>
      </c>
      <c r="F19" s="207">
        <v>1329.1969999999999</v>
      </c>
      <c r="G19" s="208">
        <v>1226.242</v>
      </c>
      <c r="H19" s="205">
        <v>0.92254346045018154</v>
      </c>
      <c r="I19" s="209">
        <v>182071.736</v>
      </c>
    </row>
    <row r="20" spans="1:9" x14ac:dyDescent="0.25">
      <c r="A20" s="196" t="s">
        <v>228</v>
      </c>
      <c r="B20" s="195">
        <v>200040875</v>
      </c>
      <c r="C20" s="197" t="s">
        <v>144</v>
      </c>
      <c r="D20" s="206">
        <v>1697.558</v>
      </c>
      <c r="E20" s="208">
        <v>32.78</v>
      </c>
      <c r="F20" s="207">
        <v>1664.778</v>
      </c>
      <c r="G20" s="208">
        <v>1605.5619999999999</v>
      </c>
      <c r="H20" s="205">
        <v>0.96443009218045894</v>
      </c>
      <c r="I20" s="209">
        <v>470911.73599999998</v>
      </c>
    </row>
    <row r="21" spans="1:9" x14ac:dyDescent="0.25">
      <c r="A21" s="196" t="s">
        <v>228</v>
      </c>
      <c r="B21" s="195">
        <v>200041414</v>
      </c>
      <c r="C21" s="197" t="s">
        <v>145</v>
      </c>
      <c r="D21" s="206">
        <v>2004.393</v>
      </c>
      <c r="E21" s="208">
        <v>49.424999999999997</v>
      </c>
      <c r="F21" s="207">
        <v>1954.9680000000001</v>
      </c>
      <c r="G21" s="208">
        <v>1789.2729999999999</v>
      </c>
      <c r="H21" s="205">
        <v>0.91524413698843154</v>
      </c>
      <c r="I21" s="209">
        <v>651030.98</v>
      </c>
    </row>
    <row r="22" spans="1:9" x14ac:dyDescent="0.25">
      <c r="A22" s="196" t="s">
        <v>228</v>
      </c>
      <c r="B22" s="195">
        <v>200042435</v>
      </c>
      <c r="C22" s="197" t="s">
        <v>146</v>
      </c>
      <c r="D22" s="206">
        <v>2675.9749999999999</v>
      </c>
      <c r="E22" s="208">
        <v>169.11199999999999</v>
      </c>
      <c r="F22" s="207">
        <v>2506.8629999999998</v>
      </c>
      <c r="G22" s="208">
        <v>611.15899999999999</v>
      </c>
      <c r="H22" s="205">
        <v>0.24379433578939097</v>
      </c>
      <c r="I22" s="209">
        <v>131993.52499999999</v>
      </c>
    </row>
    <row r="23" spans="1:9" x14ac:dyDescent="0.25">
      <c r="A23" s="196" t="s">
        <v>228</v>
      </c>
      <c r="B23" s="195">
        <v>200042992</v>
      </c>
      <c r="C23" s="197" t="s">
        <v>147</v>
      </c>
      <c r="D23" s="206">
        <v>1263.4590000000001</v>
      </c>
      <c r="E23" s="208">
        <v>7</v>
      </c>
      <c r="F23" s="207">
        <v>1256.4590000000001</v>
      </c>
      <c r="G23" s="208">
        <v>604.14200000000005</v>
      </c>
      <c r="H23" s="205">
        <v>0.48082906008075077</v>
      </c>
      <c r="I23" s="209">
        <v>313229.05800000002</v>
      </c>
    </row>
    <row r="24" spans="1:9" x14ac:dyDescent="0.25">
      <c r="A24" s="196" t="s">
        <v>228</v>
      </c>
      <c r="B24" s="195">
        <v>200043647</v>
      </c>
      <c r="C24" s="197" t="s">
        <v>148</v>
      </c>
      <c r="D24" s="206">
        <v>716.8</v>
      </c>
      <c r="E24" s="208">
        <v>0</v>
      </c>
      <c r="F24" s="207">
        <v>716.8</v>
      </c>
      <c r="G24" s="208">
        <v>82.522999999999996</v>
      </c>
      <c r="H24" s="205">
        <v>0.115126953125</v>
      </c>
      <c r="I24" s="209">
        <v>46873.8</v>
      </c>
    </row>
    <row r="25" spans="1:9" x14ac:dyDescent="0.25">
      <c r="A25" s="196" t="s">
        <v>228</v>
      </c>
      <c r="B25" s="195">
        <v>200044538</v>
      </c>
      <c r="C25" s="197" t="s">
        <v>149</v>
      </c>
      <c r="D25" s="206">
        <v>803.22199999999998</v>
      </c>
      <c r="E25" s="208">
        <v>10</v>
      </c>
      <c r="F25" s="207">
        <v>793.22199999999998</v>
      </c>
      <c r="G25" s="208">
        <v>465.43</v>
      </c>
      <c r="H25" s="205">
        <v>0.5867588140520561</v>
      </c>
      <c r="I25" s="209">
        <v>97396.354999999996</v>
      </c>
    </row>
    <row r="26" spans="1:9" x14ac:dyDescent="0.25">
      <c r="A26" s="196" t="s">
        <v>228</v>
      </c>
      <c r="B26" s="195">
        <v>200049625</v>
      </c>
      <c r="C26" s="197" t="s">
        <v>8</v>
      </c>
      <c r="D26" s="206">
        <v>1944.4590000000001</v>
      </c>
      <c r="E26" s="208">
        <v>32.03</v>
      </c>
      <c r="F26" s="207">
        <v>1912.4290000000001</v>
      </c>
      <c r="G26" s="208">
        <v>1869.3340000000001</v>
      </c>
      <c r="H26" s="205">
        <v>0.97746583010401955</v>
      </c>
      <c r="I26" s="209">
        <v>713413.94</v>
      </c>
    </row>
    <row r="27" spans="1:9" x14ac:dyDescent="0.25">
      <c r="A27" s="196" t="s">
        <v>228</v>
      </c>
      <c r="B27" s="195">
        <v>200050751</v>
      </c>
      <c r="C27" s="197" t="s">
        <v>150</v>
      </c>
      <c r="D27" s="206">
        <v>689.18899999999996</v>
      </c>
      <c r="E27" s="208">
        <v>17.579999999999998</v>
      </c>
      <c r="F27" s="207">
        <v>671.60900000000004</v>
      </c>
      <c r="G27" s="208">
        <v>662.029</v>
      </c>
      <c r="H27" s="205">
        <v>0.98573574803196506</v>
      </c>
      <c r="I27" s="209">
        <v>202941.785</v>
      </c>
    </row>
    <row r="28" spans="1:9" x14ac:dyDescent="0.25">
      <c r="A28" s="196" t="s">
        <v>228</v>
      </c>
      <c r="B28" s="195">
        <v>200055084</v>
      </c>
      <c r="C28" s="197" t="s">
        <v>151</v>
      </c>
      <c r="D28" s="206">
        <v>488.21300000000002</v>
      </c>
      <c r="E28" s="208">
        <v>3.2</v>
      </c>
      <c r="F28" s="207">
        <v>485.01299999999998</v>
      </c>
      <c r="G28" s="208">
        <v>403.93400000000003</v>
      </c>
      <c r="H28" s="205">
        <v>0.83283128493463066</v>
      </c>
      <c r="I28" s="209">
        <v>125899.844</v>
      </c>
    </row>
    <row r="29" spans="1:9" x14ac:dyDescent="0.25">
      <c r="A29" s="196" t="s">
        <v>228</v>
      </c>
      <c r="B29" s="195">
        <v>200079202</v>
      </c>
      <c r="C29" s="197" t="s">
        <v>152</v>
      </c>
      <c r="D29" s="206">
        <v>1269.115</v>
      </c>
      <c r="E29" s="208">
        <v>0</v>
      </c>
      <c r="F29" s="207">
        <v>1269.115</v>
      </c>
      <c r="G29" s="208">
        <v>1254.1389999999999</v>
      </c>
      <c r="H29" s="205">
        <v>0.98819965093785822</v>
      </c>
      <c r="I29" s="209">
        <v>54004.2</v>
      </c>
    </row>
    <row r="30" spans="1:9" x14ac:dyDescent="0.25">
      <c r="A30" s="196" t="s">
        <v>228</v>
      </c>
      <c r="B30" s="195">
        <v>200095578</v>
      </c>
      <c r="C30" s="197" t="s">
        <v>153</v>
      </c>
      <c r="D30" s="206">
        <v>596.31799999999998</v>
      </c>
      <c r="E30" s="208">
        <v>3</v>
      </c>
      <c r="F30" s="207">
        <v>593.31799999999998</v>
      </c>
      <c r="G30" s="208">
        <v>198.69499999999999</v>
      </c>
      <c r="H30" s="205">
        <v>0.33488786788872071</v>
      </c>
      <c r="I30" s="209">
        <v>36902.36</v>
      </c>
    </row>
    <row r="31" spans="1:9" x14ac:dyDescent="0.25">
      <c r="A31" s="196" t="s">
        <v>228</v>
      </c>
      <c r="B31" s="195">
        <v>200106717</v>
      </c>
      <c r="C31" s="197" t="s">
        <v>154</v>
      </c>
      <c r="D31" s="206">
        <v>672.28399999999999</v>
      </c>
      <c r="E31" s="208">
        <v>1.5</v>
      </c>
      <c r="F31" s="207">
        <v>670.78399999999999</v>
      </c>
      <c r="G31" s="208">
        <v>221.27699999999999</v>
      </c>
      <c r="H31" s="205">
        <v>0.32987817240721307</v>
      </c>
      <c r="I31" s="209">
        <v>52912.921999999999</v>
      </c>
    </row>
    <row r="32" spans="1:9" x14ac:dyDescent="0.25">
      <c r="A32" s="196" t="s">
        <v>228</v>
      </c>
      <c r="B32" s="195">
        <v>200107653</v>
      </c>
      <c r="C32" s="197" t="s">
        <v>155</v>
      </c>
      <c r="D32" s="206">
        <v>784.65899999999999</v>
      </c>
      <c r="E32" s="208">
        <v>28.274999999999999</v>
      </c>
      <c r="F32" s="207">
        <v>756.38400000000001</v>
      </c>
      <c r="G32" s="208">
        <v>665.59500000000003</v>
      </c>
      <c r="H32" s="205">
        <v>0.87996969793120949</v>
      </c>
      <c r="I32" s="209">
        <v>300126.90100000001</v>
      </c>
    </row>
    <row r="33" spans="1:9" x14ac:dyDescent="0.25">
      <c r="A33" s="196" t="s">
        <v>228</v>
      </c>
      <c r="B33" s="195">
        <v>200135519</v>
      </c>
      <c r="C33" s="197" t="s">
        <v>79</v>
      </c>
      <c r="D33" s="206">
        <v>1171.3869999999999</v>
      </c>
      <c r="E33" s="208">
        <v>28.31</v>
      </c>
      <c r="F33" s="207">
        <v>1143.077</v>
      </c>
      <c r="G33" s="208">
        <v>1040.2249999999999</v>
      </c>
      <c r="H33" s="205">
        <v>0.91002180955438694</v>
      </c>
      <c r="I33" s="209">
        <v>323220.30099999998</v>
      </c>
    </row>
    <row r="34" spans="1:9" x14ac:dyDescent="0.25">
      <c r="A34" s="196" t="s">
        <v>228</v>
      </c>
      <c r="B34" s="195">
        <v>200137940</v>
      </c>
      <c r="C34" s="197" t="s">
        <v>17</v>
      </c>
      <c r="D34" s="206">
        <v>580.26900000000001</v>
      </c>
      <c r="E34" s="208">
        <v>23.1</v>
      </c>
      <c r="F34" s="207">
        <v>557.16899999999998</v>
      </c>
      <c r="G34" s="208">
        <v>534.82500000000005</v>
      </c>
      <c r="H34" s="205">
        <v>0.95989726635904005</v>
      </c>
      <c r="I34" s="209">
        <v>132509.53700000001</v>
      </c>
    </row>
    <row r="35" spans="1:9" x14ac:dyDescent="0.25">
      <c r="A35" s="196" t="s">
        <v>228</v>
      </c>
      <c r="B35" s="195">
        <v>200138510</v>
      </c>
      <c r="C35" s="197" t="s">
        <v>11</v>
      </c>
      <c r="D35" s="206">
        <v>1279.7239999999999</v>
      </c>
      <c r="E35" s="208">
        <v>33.340000000000003</v>
      </c>
      <c r="F35" s="207">
        <v>1246.384</v>
      </c>
      <c r="G35" s="208">
        <v>1245.7670000000001</v>
      </c>
      <c r="H35" s="205">
        <v>0.99950496797134747</v>
      </c>
      <c r="I35" s="209">
        <v>584248.78300000005</v>
      </c>
    </row>
    <row r="36" spans="1:9" x14ac:dyDescent="0.25">
      <c r="A36" s="196" t="s">
        <v>228</v>
      </c>
      <c r="B36" s="195">
        <v>200140049</v>
      </c>
      <c r="C36" s="197" t="s">
        <v>18</v>
      </c>
      <c r="D36" s="206">
        <v>806.46900000000005</v>
      </c>
      <c r="E36" s="208">
        <v>11.113</v>
      </c>
      <c r="F36" s="207">
        <v>795.35599999999999</v>
      </c>
      <c r="G36" s="208">
        <v>597.98</v>
      </c>
      <c r="H36" s="205">
        <v>0.75183942787883662</v>
      </c>
      <c r="I36" s="209">
        <v>188837.64499999999</v>
      </c>
    </row>
    <row r="37" spans="1:9" x14ac:dyDescent="0.25">
      <c r="A37" s="196" t="s">
        <v>228</v>
      </c>
      <c r="B37" s="195">
        <v>200140070</v>
      </c>
      <c r="C37" s="197" t="s">
        <v>156</v>
      </c>
      <c r="D37" s="206">
        <v>1616.518</v>
      </c>
      <c r="E37" s="208">
        <v>84.935000000000002</v>
      </c>
      <c r="F37" s="207">
        <v>1531.5830000000001</v>
      </c>
      <c r="G37" s="208">
        <v>1357.402</v>
      </c>
      <c r="H37" s="205">
        <v>0.88627387480796016</v>
      </c>
      <c r="I37" s="209">
        <v>469170.038</v>
      </c>
    </row>
    <row r="38" spans="1:9" x14ac:dyDescent="0.25">
      <c r="A38" s="196" t="s">
        <v>228</v>
      </c>
      <c r="B38" s="195">
        <v>200141541</v>
      </c>
      <c r="C38" s="197" t="s">
        <v>46</v>
      </c>
      <c r="D38" s="206">
        <v>1187.607</v>
      </c>
      <c r="E38" s="208">
        <v>33.625</v>
      </c>
      <c r="F38" s="207">
        <v>1153.982</v>
      </c>
      <c r="G38" s="208">
        <v>1093.24</v>
      </c>
      <c r="H38" s="205">
        <v>0.94736313044744203</v>
      </c>
      <c r="I38" s="209">
        <v>340207.09700000001</v>
      </c>
    </row>
    <row r="39" spans="1:9" x14ac:dyDescent="0.25">
      <c r="A39" s="196" t="s">
        <v>228</v>
      </c>
      <c r="B39" s="195">
        <v>200159577</v>
      </c>
      <c r="C39" s="197" t="s">
        <v>157</v>
      </c>
      <c r="D39" s="206">
        <v>3380.3850000000002</v>
      </c>
      <c r="E39" s="208">
        <v>84.144999999999996</v>
      </c>
      <c r="F39" s="207">
        <v>3296.24</v>
      </c>
      <c r="G39" s="208">
        <v>3183.63</v>
      </c>
      <c r="H39" s="205">
        <v>0.9658368322694949</v>
      </c>
      <c r="I39" s="209">
        <v>1321764.6529999999</v>
      </c>
    </row>
    <row r="40" spans="1:9" x14ac:dyDescent="0.25">
      <c r="A40" s="196" t="s">
        <v>228</v>
      </c>
      <c r="B40" s="195">
        <v>200159676</v>
      </c>
      <c r="C40" s="197" t="s">
        <v>215</v>
      </c>
      <c r="D40" s="206">
        <v>476.8</v>
      </c>
      <c r="E40" s="208">
        <v>81.555999999999997</v>
      </c>
      <c r="F40" s="207">
        <v>395.24400000000003</v>
      </c>
      <c r="G40" s="208">
        <v>89.061000000000007</v>
      </c>
      <c r="H40" s="205">
        <v>0.22533169383975468</v>
      </c>
      <c r="I40" s="209">
        <v>12850.975</v>
      </c>
    </row>
    <row r="41" spans="1:9" x14ac:dyDescent="0.25">
      <c r="A41" s="196" t="s">
        <v>228</v>
      </c>
      <c r="B41" s="195">
        <v>200166322</v>
      </c>
      <c r="C41" s="197" t="s">
        <v>231</v>
      </c>
      <c r="D41" s="206">
        <v>120</v>
      </c>
      <c r="E41" s="208">
        <v>120</v>
      </c>
      <c r="F41" s="207">
        <v>0</v>
      </c>
      <c r="G41" s="208">
        <v>0</v>
      </c>
      <c r="H41" s="205">
        <v>0</v>
      </c>
      <c r="I41" s="209">
        <v>0</v>
      </c>
    </row>
    <row r="42" spans="1:9" x14ac:dyDescent="0.25">
      <c r="A42" s="196" t="s">
        <v>228</v>
      </c>
      <c r="B42" s="195">
        <v>200182711</v>
      </c>
      <c r="C42" s="197" t="s">
        <v>158</v>
      </c>
      <c r="D42" s="206">
        <v>56.103000000000002</v>
      </c>
      <c r="E42" s="208">
        <v>0</v>
      </c>
      <c r="F42" s="207">
        <v>56.103000000000002</v>
      </c>
      <c r="G42" s="208">
        <v>25.701000000000001</v>
      </c>
      <c r="H42" s="205">
        <v>0.45810384471418641</v>
      </c>
      <c r="I42" s="209">
        <v>23816.84</v>
      </c>
    </row>
    <row r="43" spans="1:9" x14ac:dyDescent="0.25">
      <c r="A43" s="196" t="s">
        <v>228</v>
      </c>
      <c r="B43" s="195">
        <v>200220246</v>
      </c>
      <c r="C43" s="197" t="s">
        <v>238</v>
      </c>
      <c r="D43" s="206">
        <v>170.30500000000001</v>
      </c>
      <c r="E43" s="208">
        <v>3.37</v>
      </c>
      <c r="F43" s="207">
        <v>166.935</v>
      </c>
      <c r="G43" s="208">
        <v>61.055</v>
      </c>
      <c r="H43" s="205">
        <v>0.3657411567376524</v>
      </c>
      <c r="I43" s="209">
        <v>10791.953</v>
      </c>
    </row>
    <row r="44" spans="1:9" x14ac:dyDescent="0.25">
      <c r="A44" s="196" t="s">
        <v>228</v>
      </c>
      <c r="B44" s="195">
        <v>200221267</v>
      </c>
      <c r="C44" s="197" t="s">
        <v>239</v>
      </c>
      <c r="D44" s="206">
        <v>1060.5909999999999</v>
      </c>
      <c r="E44" s="208">
        <v>1.3</v>
      </c>
      <c r="F44" s="207">
        <v>1059.2909999999999</v>
      </c>
      <c r="G44" s="208">
        <v>469.36900000000003</v>
      </c>
      <c r="H44" s="205">
        <v>0.44309731697899823</v>
      </c>
      <c r="I44" s="209">
        <v>165230.389</v>
      </c>
    </row>
    <row r="45" spans="1:9" x14ac:dyDescent="0.25">
      <c r="A45" s="196" t="s">
        <v>228</v>
      </c>
      <c r="B45" s="195">
        <v>200512464</v>
      </c>
      <c r="C45" s="197" t="s">
        <v>15</v>
      </c>
      <c r="D45" s="206">
        <v>1878.155</v>
      </c>
      <c r="E45" s="208">
        <v>59.13</v>
      </c>
      <c r="F45" s="207">
        <v>1819.0250000000001</v>
      </c>
      <c r="G45" s="208">
        <v>1813.925</v>
      </c>
      <c r="H45" s="205">
        <v>0.99719630021577499</v>
      </c>
      <c r="I45" s="209">
        <v>485743.60800000001</v>
      </c>
    </row>
    <row r="46" spans="1:9" x14ac:dyDescent="0.25">
      <c r="A46" s="196" t="s">
        <v>228</v>
      </c>
      <c r="B46" s="195">
        <v>200514277</v>
      </c>
      <c r="C46" s="197" t="s">
        <v>97</v>
      </c>
      <c r="D46" s="206">
        <v>1483.567</v>
      </c>
      <c r="E46" s="208">
        <v>73.760000000000005</v>
      </c>
      <c r="F46" s="207">
        <v>1409.807</v>
      </c>
      <c r="G46" s="208">
        <v>1358.7349999999999</v>
      </c>
      <c r="H46" s="205">
        <v>0.96377376477773202</v>
      </c>
      <c r="I46" s="209">
        <v>402787.04</v>
      </c>
    </row>
    <row r="47" spans="1:9" x14ac:dyDescent="0.25">
      <c r="A47" s="196" t="s">
        <v>228</v>
      </c>
      <c r="B47" s="195">
        <v>200525099</v>
      </c>
      <c r="C47" s="197" t="s">
        <v>159</v>
      </c>
      <c r="D47" s="206">
        <v>1312.9459999999999</v>
      </c>
      <c r="E47" s="208">
        <v>3.1720000000000002</v>
      </c>
      <c r="F47" s="207">
        <v>1309.7739999999999</v>
      </c>
      <c r="G47" s="208">
        <v>852.38499999999999</v>
      </c>
      <c r="H47" s="205">
        <v>0.65078784584210714</v>
      </c>
      <c r="I47" s="209">
        <v>206876.212</v>
      </c>
    </row>
    <row r="48" spans="1:9" x14ac:dyDescent="0.25">
      <c r="A48" s="196" t="s">
        <v>228</v>
      </c>
      <c r="B48" s="195">
        <v>200525105</v>
      </c>
      <c r="C48" s="197" t="s">
        <v>160</v>
      </c>
      <c r="D48" s="206">
        <v>1</v>
      </c>
      <c r="E48" s="208">
        <v>0</v>
      </c>
      <c r="F48" s="207">
        <v>1</v>
      </c>
      <c r="G48" s="208">
        <v>1</v>
      </c>
      <c r="H48" s="205">
        <v>1</v>
      </c>
      <c r="I48" s="209">
        <v>2742</v>
      </c>
    </row>
    <row r="49" spans="1:9" x14ac:dyDescent="0.25">
      <c r="A49" s="196" t="s">
        <v>228</v>
      </c>
      <c r="B49" s="195">
        <v>200531038</v>
      </c>
      <c r="C49" s="197" t="s">
        <v>161</v>
      </c>
      <c r="D49" s="206">
        <v>10292.877</v>
      </c>
      <c r="E49" s="208">
        <v>1031.325</v>
      </c>
      <c r="F49" s="207">
        <v>9261.5519999999997</v>
      </c>
      <c r="G49" s="208">
        <v>7257.973</v>
      </c>
      <c r="H49" s="205">
        <v>0.78366703550333683</v>
      </c>
      <c r="I49" s="209">
        <v>2151271.4525000001</v>
      </c>
    </row>
    <row r="50" spans="1:9" x14ac:dyDescent="0.25">
      <c r="A50" s="196" t="s">
        <v>228</v>
      </c>
      <c r="B50" s="195">
        <v>200536200</v>
      </c>
      <c r="C50" s="197" t="s">
        <v>162</v>
      </c>
      <c r="D50" s="206">
        <v>1912.472</v>
      </c>
      <c r="E50" s="208">
        <v>118.85</v>
      </c>
      <c r="F50" s="207">
        <v>1793.6220000000001</v>
      </c>
      <c r="G50" s="208">
        <v>1014.3869999999999</v>
      </c>
      <c r="H50" s="205">
        <v>0.5655522735559666</v>
      </c>
      <c r="I50" s="209">
        <v>376746.44699999999</v>
      </c>
    </row>
    <row r="51" spans="1:9" x14ac:dyDescent="0.25">
      <c r="A51" s="196" t="s">
        <v>228</v>
      </c>
      <c r="B51" s="195">
        <v>200536224</v>
      </c>
      <c r="C51" s="197" t="s">
        <v>216</v>
      </c>
      <c r="D51" s="206">
        <v>2232.5619999999999</v>
      </c>
      <c r="E51" s="208">
        <v>2.1</v>
      </c>
      <c r="F51" s="207">
        <v>2230.462</v>
      </c>
      <c r="G51" s="208">
        <v>1363.018</v>
      </c>
      <c r="H51" s="205">
        <v>0.61109223111624411</v>
      </c>
      <c r="I51" s="209">
        <v>504574.19699999999</v>
      </c>
    </row>
    <row r="52" spans="1:9" x14ac:dyDescent="0.25">
      <c r="A52" s="196" t="s">
        <v>228</v>
      </c>
      <c r="B52" s="195">
        <v>200536248</v>
      </c>
      <c r="C52" s="197" t="s">
        <v>163</v>
      </c>
      <c r="D52" s="206">
        <v>1660.5309999999999</v>
      </c>
      <c r="E52" s="208">
        <v>0.375</v>
      </c>
      <c r="F52" s="207">
        <v>1660.1559999999999</v>
      </c>
      <c r="G52" s="208">
        <v>746.10799999999995</v>
      </c>
      <c r="H52" s="205">
        <v>0.44942041591272147</v>
      </c>
      <c r="I52" s="209">
        <v>227253.315</v>
      </c>
    </row>
    <row r="53" spans="1:9" x14ac:dyDescent="0.25">
      <c r="A53" s="196" t="s">
        <v>228</v>
      </c>
      <c r="B53" s="195">
        <v>200541495</v>
      </c>
      <c r="C53" s="197" t="s">
        <v>164</v>
      </c>
      <c r="D53" s="206">
        <v>1725.027</v>
      </c>
      <c r="E53" s="208">
        <v>51.32</v>
      </c>
      <c r="F53" s="207">
        <v>1673.7070000000001</v>
      </c>
      <c r="G53" s="208">
        <v>1609.89</v>
      </c>
      <c r="H53" s="205">
        <v>0.96187086509167974</v>
      </c>
      <c r="I53" s="209">
        <v>456448.21799999999</v>
      </c>
    </row>
    <row r="54" spans="1:9" x14ac:dyDescent="0.25">
      <c r="A54" s="196" t="s">
        <v>228</v>
      </c>
      <c r="B54" s="195">
        <v>200544472</v>
      </c>
      <c r="C54" s="197" t="s">
        <v>165</v>
      </c>
      <c r="D54" s="206">
        <v>3193.049</v>
      </c>
      <c r="E54" s="208">
        <v>97.6</v>
      </c>
      <c r="F54" s="207">
        <v>3095.4490000000001</v>
      </c>
      <c r="G54" s="208">
        <v>2744.681</v>
      </c>
      <c r="H54" s="205">
        <v>0.88668267511433718</v>
      </c>
      <c r="I54" s="209">
        <v>917576.65800000005</v>
      </c>
    </row>
    <row r="55" spans="1:9" x14ac:dyDescent="0.25">
      <c r="A55" s="196" t="s">
        <v>228</v>
      </c>
      <c r="B55" s="195">
        <v>200544489</v>
      </c>
      <c r="C55" s="197" t="s">
        <v>26</v>
      </c>
      <c r="D55" s="206">
        <v>1059.489</v>
      </c>
      <c r="E55" s="208">
        <v>24.2</v>
      </c>
      <c r="F55" s="207">
        <v>1035.289</v>
      </c>
      <c r="G55" s="208">
        <v>818.00599999999997</v>
      </c>
      <c r="H55" s="205">
        <v>0.79012333754149811</v>
      </c>
      <c r="I55" s="209">
        <v>265536.49800000002</v>
      </c>
    </row>
    <row r="56" spans="1:9" x14ac:dyDescent="0.25">
      <c r="A56" s="196" t="s">
        <v>228</v>
      </c>
      <c r="B56" s="195">
        <v>200652832</v>
      </c>
      <c r="C56" s="197" t="s">
        <v>166</v>
      </c>
      <c r="D56" s="206">
        <v>1991.6559999999999</v>
      </c>
      <c r="E56" s="208">
        <v>7.5</v>
      </c>
      <c r="F56" s="207">
        <v>1984.1559999999999</v>
      </c>
      <c r="G56" s="208">
        <v>1171.412</v>
      </c>
      <c r="H56" s="205">
        <v>0.5903830142387998</v>
      </c>
      <c r="I56" s="209">
        <v>460400.658</v>
      </c>
    </row>
    <row r="57" spans="1:9" x14ac:dyDescent="0.25">
      <c r="A57" s="196" t="s">
        <v>228</v>
      </c>
      <c r="B57" s="195">
        <v>200652849</v>
      </c>
      <c r="C57" s="197" t="s">
        <v>167</v>
      </c>
      <c r="D57" s="206">
        <v>1664.027</v>
      </c>
      <c r="E57" s="208">
        <v>1.8</v>
      </c>
      <c r="F57" s="207">
        <v>1662.2270000000001</v>
      </c>
      <c r="G57" s="208">
        <v>674.66499999999996</v>
      </c>
      <c r="H57" s="205">
        <v>0.40588018363316203</v>
      </c>
      <c r="I57" s="209">
        <v>157685.323</v>
      </c>
    </row>
    <row r="58" spans="1:9" x14ac:dyDescent="0.25">
      <c r="A58" s="196" t="s">
        <v>228</v>
      </c>
      <c r="B58" s="195">
        <v>200652900</v>
      </c>
      <c r="C58" s="197" t="s">
        <v>168</v>
      </c>
      <c r="D58" s="206">
        <v>1409.0730000000001</v>
      </c>
      <c r="E58" s="208">
        <v>11.15</v>
      </c>
      <c r="F58" s="207">
        <v>1397.923</v>
      </c>
      <c r="G58" s="208">
        <v>303.52</v>
      </c>
      <c r="H58" s="205">
        <v>0.2171221161680579</v>
      </c>
      <c r="I58" s="209">
        <v>231580.065</v>
      </c>
    </row>
    <row r="59" spans="1:9" x14ac:dyDescent="0.25">
      <c r="A59" s="196" t="s">
        <v>228</v>
      </c>
      <c r="B59" s="195">
        <v>200692968</v>
      </c>
      <c r="C59" s="197" t="s">
        <v>169</v>
      </c>
      <c r="D59" s="206">
        <v>15056.285</v>
      </c>
      <c r="E59" s="208">
        <v>408.53</v>
      </c>
      <c r="F59" s="207">
        <v>14647.754999999999</v>
      </c>
      <c r="G59" s="208">
        <v>7836.7389999999996</v>
      </c>
      <c r="H59" s="205">
        <v>0.53501297639126266</v>
      </c>
      <c r="I59" s="209">
        <v>3815688.1189999999</v>
      </c>
    </row>
    <row r="60" spans="1:9" x14ac:dyDescent="0.25">
      <c r="A60" s="196" t="s">
        <v>228</v>
      </c>
      <c r="B60" s="195">
        <v>200809045</v>
      </c>
      <c r="C60" s="197" t="s">
        <v>13</v>
      </c>
      <c r="D60" s="206">
        <v>2840.12</v>
      </c>
      <c r="E60" s="214">
        <v>71.034999999999997</v>
      </c>
      <c r="F60" s="207">
        <v>2769.085</v>
      </c>
      <c r="G60" s="208">
        <v>2761.9490000000001</v>
      </c>
      <c r="H60" s="205">
        <v>0.99742297545940262</v>
      </c>
      <c r="I60" s="209">
        <v>1047183.1605</v>
      </c>
    </row>
    <row r="61" spans="1:9" x14ac:dyDescent="0.25">
      <c r="A61" s="195" t="s">
        <v>128</v>
      </c>
      <c r="B61" s="195" t="s">
        <v>128</v>
      </c>
      <c r="C61" s="197" t="s">
        <v>128</v>
      </c>
      <c r="D61" s="211">
        <v>102829.226</v>
      </c>
      <c r="E61" s="211">
        <v>3851.5949999999998</v>
      </c>
      <c r="F61" s="211">
        <v>98977.630999999994</v>
      </c>
      <c r="G61" s="211">
        <v>72539.224000000002</v>
      </c>
      <c r="H61" s="210">
        <v>0.73288502934567101</v>
      </c>
      <c r="I61" s="212">
        <v>24539258.8675</v>
      </c>
    </row>
    <row r="62" spans="1:9" ht="0" hidden="1" customHeight="1" x14ac:dyDescent="0.25"/>
  </sheetData>
  <mergeCells count="3">
    <mergeCell ref="A1:E1"/>
    <mergeCell ref="A2:E2"/>
    <mergeCell ref="D4:H4"/>
  </mergeCells>
  <pageMargins left="0.98425196850393704" right="0.98425196850393704" top="0.98425196850393704" bottom="0.98425196850393704" header="0.98425196850393704" footer="0.98425196850393704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>
    <tabColor rgb="FF92D050"/>
    <pageSetUpPr fitToPage="1"/>
  </sheetPr>
  <dimension ref="A1:AL167"/>
  <sheetViews>
    <sheetView zoomScale="90" zoomScaleNormal="90" workbookViewId="0">
      <pane xSplit="1" ySplit="4" topLeftCell="H84" activePane="bottomRight" state="frozen"/>
      <selection activeCell="G24" sqref="G24"/>
      <selection pane="topRight" activeCell="G24" sqref="G24"/>
      <selection pane="bottomLeft" activeCell="G24" sqref="G24"/>
      <selection pane="bottomRight" activeCell="V17" sqref="V17"/>
    </sheetView>
  </sheetViews>
  <sheetFormatPr defaultColWidth="9.140625" defaultRowHeight="15" x14ac:dyDescent="0.25"/>
  <cols>
    <col min="1" max="1" width="60" style="2" customWidth="1"/>
    <col min="2" max="7" width="26.140625" style="40" hidden="1" customWidth="1"/>
    <col min="8" max="8" width="26.140625" style="40" customWidth="1"/>
    <col min="9" max="9" width="14.140625" style="23" customWidth="1"/>
    <col min="10" max="10" width="14.140625" style="97" customWidth="1"/>
    <col min="11" max="11" width="18.42578125" style="97" customWidth="1"/>
    <col min="12" max="13" width="15.42578125" style="99" customWidth="1"/>
    <col min="14" max="14" width="11.7109375" style="97" customWidth="1"/>
    <col min="15" max="15" width="9.85546875" style="97" customWidth="1"/>
    <col min="16" max="16" width="9.85546875" style="4" customWidth="1"/>
    <col min="17" max="17" width="9.140625" style="100" customWidth="1"/>
    <col min="18" max="19" width="11.7109375" style="97" customWidth="1"/>
    <col min="20" max="20" width="11.7109375" style="100" customWidth="1"/>
    <col min="21" max="21" width="11.85546875" style="100" customWidth="1"/>
    <col min="22" max="22" width="14.85546875" style="4" customWidth="1"/>
    <col min="23" max="25" width="9.140625" style="4" customWidth="1"/>
    <col min="26" max="16384" width="9.140625" style="4"/>
  </cols>
  <sheetData>
    <row r="1" spans="1:38" ht="21" x14ac:dyDescent="0.25">
      <c r="A1" s="8" t="s">
        <v>246</v>
      </c>
      <c r="B1" s="34"/>
      <c r="C1" s="34"/>
      <c r="D1" s="34"/>
      <c r="E1" s="34"/>
      <c r="F1" s="34"/>
      <c r="G1" s="34"/>
      <c r="H1" s="34"/>
      <c r="I1" s="19" t="s">
        <v>29</v>
      </c>
      <c r="J1" s="95"/>
      <c r="K1" s="95"/>
      <c r="P1" s="16"/>
    </row>
    <row r="2" spans="1:38" ht="18" customHeight="1" thickBot="1" x14ac:dyDescent="0.3">
      <c r="A2" s="84" t="s">
        <v>33</v>
      </c>
      <c r="B2" s="35"/>
      <c r="C2" s="35"/>
      <c r="D2" s="35"/>
      <c r="E2" s="35"/>
      <c r="F2" s="35"/>
      <c r="G2" s="35"/>
      <c r="H2" s="35"/>
      <c r="I2" s="20"/>
      <c r="J2" s="96"/>
      <c r="K2" s="96"/>
      <c r="S2" s="113"/>
    </row>
    <row r="3" spans="1:38" s="18" customFormat="1" ht="79.5" customHeight="1" thickTop="1" thickBot="1" x14ac:dyDescent="0.3">
      <c r="A3" s="163" t="s">
        <v>0</v>
      </c>
      <c r="B3" s="164"/>
      <c r="C3" s="165"/>
      <c r="D3" s="165"/>
      <c r="E3" s="165"/>
      <c r="F3" s="165"/>
      <c r="G3" s="166"/>
      <c r="H3" s="167" t="s">
        <v>118</v>
      </c>
      <c r="I3" s="168" t="s">
        <v>14</v>
      </c>
      <c r="J3" s="244" t="s">
        <v>2</v>
      </c>
      <c r="K3" s="245"/>
      <c r="L3" s="246" t="s">
        <v>177</v>
      </c>
      <c r="M3" s="247"/>
      <c r="N3" s="248" t="s">
        <v>1</v>
      </c>
      <c r="O3" s="249"/>
      <c r="P3" s="250" t="s">
        <v>99</v>
      </c>
      <c r="Q3" s="251"/>
      <c r="R3" s="252" t="s">
        <v>110</v>
      </c>
      <c r="S3" s="253"/>
      <c r="T3" s="242" t="s">
        <v>245</v>
      </c>
      <c r="U3" s="243"/>
      <c r="V3" s="27"/>
    </row>
    <row r="4" spans="1:38" ht="15.75" thickBot="1" x14ac:dyDescent="0.3">
      <c r="A4" s="178" t="s">
        <v>0</v>
      </c>
      <c r="B4" s="179" t="s">
        <v>109</v>
      </c>
      <c r="C4" s="179" t="s">
        <v>348</v>
      </c>
      <c r="D4" s="179" t="s">
        <v>349</v>
      </c>
      <c r="E4" s="179" t="s">
        <v>350</v>
      </c>
      <c r="F4" s="179" t="s">
        <v>351</v>
      </c>
      <c r="G4" s="179" t="s">
        <v>174</v>
      </c>
      <c r="H4" s="179" t="s">
        <v>118</v>
      </c>
      <c r="I4" s="180" t="s">
        <v>14</v>
      </c>
      <c r="J4" s="181" t="s">
        <v>31</v>
      </c>
      <c r="K4" s="182" t="s">
        <v>32</v>
      </c>
      <c r="L4" s="183" t="s">
        <v>31</v>
      </c>
      <c r="M4" s="182" t="s">
        <v>32</v>
      </c>
      <c r="N4" s="184" t="s">
        <v>31</v>
      </c>
      <c r="O4" s="185" t="s">
        <v>32</v>
      </c>
      <c r="P4" s="186" t="s">
        <v>31</v>
      </c>
      <c r="Q4" s="187" t="s">
        <v>32</v>
      </c>
      <c r="R4" s="188" t="s">
        <v>31</v>
      </c>
      <c r="S4" s="189" t="s">
        <v>32</v>
      </c>
      <c r="T4" s="181" t="s">
        <v>31</v>
      </c>
      <c r="U4" s="190" t="s">
        <v>32</v>
      </c>
      <c r="V4" s="28"/>
      <c r="W4" s="5"/>
    </row>
    <row r="5" spans="1:38" s="5" customFormat="1" ht="15.75" x14ac:dyDescent="0.25">
      <c r="A5" s="15" t="s">
        <v>98</v>
      </c>
      <c r="B5" s="36"/>
      <c r="C5" s="221"/>
      <c r="D5" s="221"/>
      <c r="E5" s="221"/>
      <c r="F5" s="221"/>
      <c r="G5" s="36" t="s">
        <v>174</v>
      </c>
      <c r="H5" s="36" t="s">
        <v>121</v>
      </c>
      <c r="I5" s="21">
        <f t="shared" ref="I5:I34" si="0">(J5*100)/K5</f>
        <v>62.562087626955289</v>
      </c>
      <c r="J5" s="169">
        <f t="shared" ref="J5:J35" si="1">+L5+N5+P5+R5+T5</f>
        <v>843.9</v>
      </c>
      <c r="K5" s="170">
        <f t="shared" ref="K5:K35" si="2">+M5+O5+Q5+S5+U5</f>
        <v>1348.9</v>
      </c>
      <c r="L5" s="171">
        <f>+IFERROR(VLOOKUP(C5,'Nemlig Q4'!$A$2:$J$52,6,FALSE),0)</f>
        <v>0</v>
      </c>
      <c r="M5" s="171">
        <f>+IFERROR(VLOOKUP(C5,'Nemlig Q4'!$A$2:$J$52,10,FALSE),0)</f>
        <v>0</v>
      </c>
      <c r="N5" s="169">
        <v>834.9</v>
      </c>
      <c r="O5" s="170">
        <v>1339.9</v>
      </c>
      <c r="P5" s="173"/>
      <c r="Q5" s="174"/>
      <c r="R5" s="172">
        <v>9</v>
      </c>
      <c r="S5" s="175">
        <v>9</v>
      </c>
      <c r="T5" s="176"/>
      <c r="U5" s="177"/>
      <c r="V5" s="130"/>
      <c r="W5" s="146"/>
      <c r="X5" s="146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38" ht="15.75" x14ac:dyDescent="0.25">
      <c r="A6" s="11" t="s">
        <v>94</v>
      </c>
      <c r="B6" s="36"/>
      <c r="C6" s="221"/>
      <c r="D6" s="221"/>
      <c r="E6" s="221"/>
      <c r="F6" s="221"/>
      <c r="G6" s="36" t="s">
        <v>175</v>
      </c>
      <c r="H6" s="36" t="s">
        <v>121</v>
      </c>
      <c r="I6" s="21"/>
      <c r="J6" s="22">
        <f t="shared" ref="J6" si="3">+L6+N6+P6+R6+T6</f>
        <v>0</v>
      </c>
      <c r="K6" s="116">
        <f t="shared" ref="K6" si="4">+M6+O6+Q6+S6+U6</f>
        <v>0</v>
      </c>
      <c r="L6" s="171">
        <f>+IFERROR(VLOOKUP(C6,'Nemlig Q4'!$A$2:$J$52,6,FALSE),0)</f>
        <v>0</v>
      </c>
      <c r="M6" s="171">
        <f>+IFERROR(VLOOKUP(C6,'Nemlig Q4'!$A$2:$J$52,10,FALSE),0)</f>
        <v>0</v>
      </c>
      <c r="N6" s="223"/>
      <c r="O6" s="116"/>
      <c r="P6" s="156"/>
      <c r="Q6" s="157"/>
      <c r="R6" s="151"/>
      <c r="S6" s="114"/>
      <c r="T6" s="118"/>
      <c r="U6" s="105"/>
      <c r="V6" s="130"/>
      <c r="W6" s="146"/>
      <c r="X6" s="146"/>
    </row>
    <row r="7" spans="1:38" ht="15.75" x14ac:dyDescent="0.25">
      <c r="A7" s="11" t="s">
        <v>53</v>
      </c>
      <c r="B7" s="36">
        <v>200140070</v>
      </c>
      <c r="C7" s="221"/>
      <c r="D7" s="221"/>
      <c r="E7" s="221"/>
      <c r="F7" s="221"/>
      <c r="G7" s="36" t="s">
        <v>174</v>
      </c>
      <c r="H7" s="36" t="s">
        <v>119</v>
      </c>
      <c r="I7" s="21">
        <f t="shared" si="0"/>
        <v>88.888562838458952</v>
      </c>
      <c r="J7" s="22">
        <f t="shared" si="1"/>
        <v>1393.402</v>
      </c>
      <c r="K7" s="116">
        <f t="shared" si="2"/>
        <v>1567.5830000000001</v>
      </c>
      <c r="L7" s="171">
        <f>+IFERROR(VLOOKUP(C7,'Nemlig Q4'!$A$2:$J$52,6,FALSE),0)</f>
        <v>0</v>
      </c>
      <c r="M7" s="171">
        <f>+IFERROR(VLOOKUP(C7,'Nemlig Q4'!$A$2:$J$52,10,FALSE),0)</f>
        <v>0</v>
      </c>
      <c r="N7" s="22">
        <f>+IFERROR(VLOOKUP(B7,'Hørkram Q4'!$B$6:$G$60,6,FALSE),"0")</f>
        <v>1357.402</v>
      </c>
      <c r="O7" s="224">
        <f>+IFERROR(VLOOKUP(B7,'Hørkram Q4'!$B$6:$G$60,5,FALSE),"0")</f>
        <v>1531.5830000000001</v>
      </c>
      <c r="P7" s="156"/>
      <c r="Q7" s="157"/>
      <c r="R7" s="151">
        <v>36</v>
      </c>
      <c r="S7" s="109">
        <v>36</v>
      </c>
      <c r="T7" s="118"/>
      <c r="U7" s="105"/>
      <c r="V7" s="130"/>
      <c r="W7" s="146"/>
      <c r="X7" s="146"/>
    </row>
    <row r="8" spans="1:38" ht="15.75" x14ac:dyDescent="0.25">
      <c r="A8" s="11" t="s">
        <v>26</v>
      </c>
      <c r="B8" s="36">
        <v>200544489</v>
      </c>
      <c r="C8" s="221">
        <v>1017028</v>
      </c>
      <c r="D8" s="221"/>
      <c r="E8" s="221"/>
      <c r="F8" s="221"/>
      <c r="G8" s="36" t="s">
        <v>174</v>
      </c>
      <c r="H8" s="36" t="s">
        <v>119</v>
      </c>
      <c r="I8" s="21">
        <f t="shared" si="0"/>
        <v>79.32388672828435</v>
      </c>
      <c r="J8" s="22">
        <f t="shared" si="1"/>
        <v>833.60599999999999</v>
      </c>
      <c r="K8" s="116">
        <f t="shared" si="2"/>
        <v>1050.8889999999999</v>
      </c>
      <c r="L8" s="171">
        <f>+IFERROR(VLOOKUP(C8,'Nemlig Q4'!$A$2:$J$52,6,FALSE),0)</f>
        <v>0</v>
      </c>
      <c r="M8" s="171">
        <f>+IFERROR(VLOOKUP(C8,'Nemlig Q4'!$A$2:$J$52,10,FALSE),0)</f>
        <v>0</v>
      </c>
      <c r="N8" s="22">
        <f>+IFERROR(VLOOKUP(B8,'Hørkram Q4'!$B$6:$G$60,6,FALSE),"0")</f>
        <v>818.00599999999997</v>
      </c>
      <c r="O8" s="116">
        <f>+IFERROR(VLOOKUP(B8,'Hørkram Q4'!$B$6:$G$60,5,FALSE),"0")</f>
        <v>1035.289</v>
      </c>
      <c r="P8" s="147"/>
      <c r="Q8" s="148"/>
      <c r="R8" s="151">
        <v>15.6</v>
      </c>
      <c r="S8" s="109">
        <v>15.6</v>
      </c>
      <c r="T8" s="118"/>
      <c r="U8" s="105"/>
      <c r="V8" s="130"/>
      <c r="W8" s="146"/>
      <c r="X8" s="146"/>
    </row>
    <row r="9" spans="1:38" ht="15.75" x14ac:dyDescent="0.25">
      <c r="A9" s="11" t="s">
        <v>3</v>
      </c>
      <c r="B9" s="36">
        <v>200012834</v>
      </c>
      <c r="C9" s="221"/>
      <c r="D9" s="221"/>
      <c r="E9" s="221"/>
      <c r="F9" s="221"/>
      <c r="G9" s="36" t="s">
        <v>174</v>
      </c>
      <c r="H9" s="36" t="s">
        <v>119</v>
      </c>
      <c r="I9" s="21">
        <f t="shared" si="0"/>
        <v>80.009127706801962</v>
      </c>
      <c r="J9" s="22">
        <f t="shared" si="1"/>
        <v>1272.7539999999999</v>
      </c>
      <c r="K9" s="116">
        <f t="shared" si="2"/>
        <v>1590.761</v>
      </c>
      <c r="L9" s="171">
        <f>+IFERROR(VLOOKUP(C9,'Nemlig Q4'!$A$2:$J$52,6,FALSE),0)</f>
        <v>0</v>
      </c>
      <c r="M9" s="171">
        <f>+IFERROR(VLOOKUP(C9,'Nemlig Q4'!$A$2:$J$52,10,FALSE),0)</f>
        <v>0</v>
      </c>
      <c r="N9" s="22">
        <f>+IFERROR(VLOOKUP(B9,'Hørkram Q4'!$B$6:$G$60,6,FALSE),"0")</f>
        <v>1272.7539999999999</v>
      </c>
      <c r="O9" s="116">
        <f>+IFERROR(VLOOKUP(B9,'Hørkram Q4'!$B$6:$G$60,5,FALSE),"0")</f>
        <v>1590.761</v>
      </c>
      <c r="P9" s="156"/>
      <c r="Q9" s="157"/>
      <c r="R9" s="101"/>
      <c r="S9" s="98"/>
      <c r="T9" s="118"/>
      <c r="U9" s="105"/>
      <c r="V9" s="130"/>
      <c r="W9" s="146"/>
      <c r="X9" s="146"/>
    </row>
    <row r="10" spans="1:38" x14ac:dyDescent="0.2">
      <c r="A10" s="11" t="s">
        <v>178</v>
      </c>
      <c r="B10" s="36">
        <v>200194837</v>
      </c>
      <c r="C10" s="221">
        <v>2232789</v>
      </c>
      <c r="D10" s="221"/>
      <c r="E10" s="221"/>
      <c r="F10" s="221"/>
      <c r="G10" s="36" t="s">
        <v>175</v>
      </c>
      <c r="H10" s="36" t="s">
        <v>126</v>
      </c>
      <c r="I10" s="21">
        <f t="shared" ref="I10" si="5">(J10*100)/K10</f>
        <v>0.81779522407589134</v>
      </c>
      <c r="J10" s="22">
        <f t="shared" ref="J10" si="6">+L10+N10+P10+R10+T10</f>
        <v>0.9</v>
      </c>
      <c r="K10" s="116">
        <f t="shared" ref="K10" si="7">+M10+O10+Q10+S10+U10</f>
        <v>110.05200000000001</v>
      </c>
      <c r="L10" s="171">
        <f>+IFERROR(VLOOKUP(C10,'Nemlig Q4'!$A$2:$J$52,6,FALSE),0)</f>
        <v>0.9</v>
      </c>
      <c r="M10" s="171">
        <f>+IFERROR(VLOOKUP(C10,'Nemlig Q4'!$A$2:$J$52,10,FALSE),0)</f>
        <v>110.05200000000001</v>
      </c>
      <c r="N10" s="22"/>
      <c r="O10" s="116"/>
      <c r="P10" s="147"/>
      <c r="Q10" s="148"/>
      <c r="R10" s="101"/>
      <c r="S10" s="98"/>
      <c r="T10" s="118"/>
      <c r="U10" s="105"/>
      <c r="V10" s="130"/>
      <c r="W10" s="146"/>
      <c r="X10" s="146"/>
    </row>
    <row r="11" spans="1:38" ht="15.75" x14ac:dyDescent="0.25">
      <c r="A11" s="11" t="s">
        <v>13</v>
      </c>
      <c r="B11" s="36">
        <v>200809045</v>
      </c>
      <c r="C11" s="221"/>
      <c r="D11" s="221"/>
      <c r="E11" s="221"/>
      <c r="F11" s="221"/>
      <c r="G11" s="36" t="s">
        <v>174</v>
      </c>
      <c r="H11" s="36" t="s">
        <v>119</v>
      </c>
      <c r="I11" s="21">
        <f t="shared" si="0"/>
        <v>99.743039914154593</v>
      </c>
      <c r="J11" s="22">
        <f t="shared" si="1"/>
        <v>2769.9490000000001</v>
      </c>
      <c r="K11" s="116">
        <f t="shared" si="2"/>
        <v>2777.085</v>
      </c>
      <c r="L11" s="171">
        <f>+IFERROR(VLOOKUP(C11,'Nemlig Q4'!$A$2:$J$52,6,FALSE),0)</f>
        <v>0</v>
      </c>
      <c r="M11" s="171">
        <f>+IFERROR(VLOOKUP(C11,'Nemlig Q4'!$A$2:$J$52,10,FALSE),0)</f>
        <v>0</v>
      </c>
      <c r="N11" s="22">
        <f>+IFERROR(VLOOKUP(B11,'Hørkram Q4'!$B$6:$G$60,6,FALSE),"0")</f>
        <v>2761.9490000000001</v>
      </c>
      <c r="O11" s="116">
        <f>+IFERROR(VLOOKUP(B11,'Hørkram Q4'!$B$6:$G$60,5,FALSE),"0")</f>
        <v>2769.085</v>
      </c>
      <c r="P11" s="158"/>
      <c r="Q11" s="157"/>
      <c r="R11" s="111">
        <v>8</v>
      </c>
      <c r="S11" s="109">
        <v>8</v>
      </c>
      <c r="T11" s="118"/>
      <c r="U11" s="105"/>
      <c r="V11" s="130"/>
      <c r="W11" s="146"/>
      <c r="X11" s="146"/>
    </row>
    <row r="12" spans="1:38" ht="15.75" x14ac:dyDescent="0.25">
      <c r="A12" s="11" t="s">
        <v>165</v>
      </c>
      <c r="B12" s="36">
        <v>200544472</v>
      </c>
      <c r="C12" s="221"/>
      <c r="D12" s="221"/>
      <c r="E12" s="221"/>
      <c r="F12" s="221"/>
      <c r="G12" s="36" t="s">
        <v>174</v>
      </c>
      <c r="H12" s="36" t="s">
        <v>119</v>
      </c>
      <c r="I12" s="21">
        <f t="shared" si="0"/>
        <v>88.661229066759347</v>
      </c>
      <c r="J12" s="22">
        <f t="shared" si="1"/>
        <v>2753.0810000000001</v>
      </c>
      <c r="K12" s="116">
        <f t="shared" si="2"/>
        <v>3105.1689999999999</v>
      </c>
      <c r="L12" s="171">
        <f>+IFERROR(VLOOKUP(C12,'Nemlig Q4'!$A$2:$J$52,6,FALSE),0)</f>
        <v>0</v>
      </c>
      <c r="M12" s="171">
        <f>+IFERROR(VLOOKUP(C12,'Nemlig Q4'!$A$2:$J$52,10,FALSE),0)</f>
        <v>0</v>
      </c>
      <c r="N12" s="22">
        <f>+IFERROR(VLOOKUP(B12,'Hørkram Q4'!$B$6:$G$60,6,FALSE),"0")</f>
        <v>2744.681</v>
      </c>
      <c r="O12" s="116">
        <f>+IFERROR(VLOOKUP(B12,'Hørkram Q4'!$B$6:$G$60,5,FALSE),"0")</f>
        <v>3095.4490000000001</v>
      </c>
      <c r="P12" s="156"/>
      <c r="Q12" s="157"/>
      <c r="R12" s="101">
        <v>8.4</v>
      </c>
      <c r="S12" s="110">
        <v>9.7200000000000006</v>
      </c>
      <c r="T12" s="119"/>
      <c r="U12" s="106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ht="15.75" x14ac:dyDescent="0.25">
      <c r="A13" s="11" t="s">
        <v>20</v>
      </c>
      <c r="B13" s="36">
        <v>200011554</v>
      </c>
      <c r="C13" s="221"/>
      <c r="D13" s="221"/>
      <c r="E13" s="221"/>
      <c r="F13" s="221"/>
      <c r="G13" s="36" t="s">
        <v>174</v>
      </c>
      <c r="H13" s="36" t="s">
        <v>119</v>
      </c>
      <c r="I13" s="21">
        <f t="shared" si="0"/>
        <v>99.895226739812372</v>
      </c>
      <c r="J13" s="22">
        <f t="shared" si="1"/>
        <v>1906.884</v>
      </c>
      <c r="K13" s="116">
        <f t="shared" si="2"/>
        <v>1908.884</v>
      </c>
      <c r="L13" s="171">
        <f>+IFERROR(VLOOKUP(C13,'Nemlig Q4'!$A$2:$J$52,6,FALSE),0)</f>
        <v>0</v>
      </c>
      <c r="M13" s="171">
        <f>+IFERROR(VLOOKUP(C13,'Nemlig Q4'!$A$2:$J$52,10,FALSE),0)</f>
        <v>0</v>
      </c>
      <c r="N13" s="22">
        <f>+IFERROR(VLOOKUP(B13,'Hørkram Q4'!$B$6:$G$60,6,FALSE),"0")</f>
        <v>1899.6659999999999</v>
      </c>
      <c r="O13" s="116">
        <f>+IFERROR(VLOOKUP(B13,'Hørkram Q4'!$B$6:$G$60,5,FALSE),"0")</f>
        <v>1901.6659999999999</v>
      </c>
      <c r="P13" s="156"/>
      <c r="Q13" s="157"/>
      <c r="R13" s="111">
        <v>7.218</v>
      </c>
      <c r="S13" s="109">
        <v>7.218</v>
      </c>
      <c r="T13" s="118"/>
      <c r="U13" s="105"/>
    </row>
    <row r="14" spans="1:38" ht="15.75" x14ac:dyDescent="0.25">
      <c r="A14" s="11" t="s">
        <v>101</v>
      </c>
      <c r="B14" s="36">
        <v>200050751</v>
      </c>
      <c r="C14" s="221"/>
      <c r="D14" s="221"/>
      <c r="E14" s="221"/>
      <c r="F14" s="221"/>
      <c r="G14" s="36" t="s">
        <v>174</v>
      </c>
      <c r="H14" s="36" t="s">
        <v>119</v>
      </c>
      <c r="I14" s="21">
        <f t="shared" si="0"/>
        <v>98.525127966838156</v>
      </c>
      <c r="J14" s="22">
        <f t="shared" si="1"/>
        <v>670.029</v>
      </c>
      <c r="K14" s="116">
        <f t="shared" si="2"/>
        <v>680.05900000000008</v>
      </c>
      <c r="L14" s="171">
        <f>+IFERROR(VLOOKUP(C14,'Nemlig Q4'!$A$2:$J$52,6,FALSE),0)</f>
        <v>0</v>
      </c>
      <c r="M14" s="171">
        <f>+IFERROR(VLOOKUP(C14,'Nemlig Q4'!$A$2:$J$52,10,FALSE),0)</f>
        <v>0</v>
      </c>
      <c r="N14" s="22">
        <f>+IFERROR(VLOOKUP(B14,'Hørkram Q4'!$B$6:$G$60,6,FALSE),"0")</f>
        <v>662.029</v>
      </c>
      <c r="O14" s="116">
        <f>+IFERROR(VLOOKUP(B14,'Hørkram Q4'!$B$6:$G$60,5,FALSE),"0")</f>
        <v>671.60900000000004</v>
      </c>
      <c r="P14" s="147"/>
      <c r="Q14" s="148"/>
      <c r="R14" s="111">
        <v>8</v>
      </c>
      <c r="S14" s="115">
        <v>8.4499999999999993</v>
      </c>
      <c r="T14" s="22"/>
      <c r="U14" s="98"/>
    </row>
    <row r="15" spans="1:38" ht="15.75" x14ac:dyDescent="0.25">
      <c r="A15" s="11" t="s">
        <v>102</v>
      </c>
      <c r="B15" s="36">
        <v>200040875</v>
      </c>
      <c r="C15" s="221"/>
      <c r="D15" s="221"/>
      <c r="E15" s="221"/>
      <c r="F15" s="221"/>
      <c r="G15" s="36" t="s">
        <v>174</v>
      </c>
      <c r="H15" s="36" t="s">
        <v>119</v>
      </c>
      <c r="I15" s="21">
        <f t="shared" si="0"/>
        <v>96.434078320467961</v>
      </c>
      <c r="J15" s="22">
        <f t="shared" si="1"/>
        <v>1613.5619999999999</v>
      </c>
      <c r="K15" s="116">
        <f t="shared" si="2"/>
        <v>1673.2280000000001</v>
      </c>
      <c r="L15" s="171">
        <f>+IFERROR(VLOOKUP(C15,'Nemlig Q4'!$A$2:$J$52,6,FALSE),0)</f>
        <v>0</v>
      </c>
      <c r="M15" s="171">
        <f>+IFERROR(VLOOKUP(C15,'Nemlig Q4'!$A$2:$J$52,10,FALSE),0)</f>
        <v>0</v>
      </c>
      <c r="N15" s="22">
        <f>+IFERROR(VLOOKUP(B15,'Hørkram Q4'!$B$6:$G$60,6,FALSE),"0")</f>
        <v>1605.5619999999999</v>
      </c>
      <c r="O15" s="116">
        <f>+IFERROR(VLOOKUP(B15,'Hørkram Q4'!$B$6:$G$60,5,FALSE),"0")</f>
        <v>1664.778</v>
      </c>
      <c r="P15" s="156"/>
      <c r="Q15" s="157"/>
      <c r="R15" s="111">
        <v>8</v>
      </c>
      <c r="S15" s="115">
        <v>8.4499999999999993</v>
      </c>
      <c r="T15" s="118"/>
      <c r="U15" s="105"/>
    </row>
    <row r="16" spans="1:38" ht="15.75" x14ac:dyDescent="0.25">
      <c r="A16" s="11" t="s">
        <v>46</v>
      </c>
      <c r="B16" s="36">
        <v>200141541</v>
      </c>
      <c r="C16" s="221"/>
      <c r="D16" s="221"/>
      <c r="E16" s="221"/>
      <c r="F16" s="221"/>
      <c r="G16" s="36" t="s">
        <v>174</v>
      </c>
      <c r="H16" s="36" t="s">
        <v>119</v>
      </c>
      <c r="I16" s="21">
        <f t="shared" si="0"/>
        <v>94.340626614554637</v>
      </c>
      <c r="J16" s="22">
        <f t="shared" si="1"/>
        <v>1099.24</v>
      </c>
      <c r="K16" s="116">
        <f t="shared" si="2"/>
        <v>1165.182</v>
      </c>
      <c r="L16" s="171">
        <f>+IFERROR(VLOOKUP(C16,'Nemlig Q4'!$A$2:$J$52,6,FALSE),0)</f>
        <v>0</v>
      </c>
      <c r="M16" s="171">
        <f>+IFERROR(VLOOKUP(C16,'Nemlig Q4'!$A$2:$J$52,10,FALSE),0)</f>
        <v>0</v>
      </c>
      <c r="N16" s="22">
        <f>+IFERROR(VLOOKUP(B16,'Hørkram Q4'!$B$6:$G$60,6,FALSE),"0")</f>
        <v>1093.24</v>
      </c>
      <c r="O16" s="116">
        <f>+IFERROR(VLOOKUP(B16,'Hørkram Q4'!$B$6:$G$60,5,FALSE),"0")</f>
        <v>1153.982</v>
      </c>
      <c r="P16" s="156"/>
      <c r="Q16" s="157"/>
      <c r="R16" s="101">
        <v>6</v>
      </c>
      <c r="S16" s="110">
        <v>11.2</v>
      </c>
      <c r="T16" s="118"/>
      <c r="U16" s="105"/>
    </row>
    <row r="17" spans="1:24" ht="15.75" x14ac:dyDescent="0.25">
      <c r="A17" s="11" t="s">
        <v>97</v>
      </c>
      <c r="B17" s="36">
        <v>200514277</v>
      </c>
      <c r="C17" s="221">
        <v>1017035</v>
      </c>
      <c r="D17" s="221"/>
      <c r="E17" s="221"/>
      <c r="F17" s="221"/>
      <c r="G17" s="36" t="s">
        <v>174</v>
      </c>
      <c r="H17" s="36" t="s">
        <v>119</v>
      </c>
      <c r="I17" s="21">
        <f t="shared" si="0"/>
        <v>96.410344718521443</v>
      </c>
      <c r="J17" s="22">
        <f t="shared" si="1"/>
        <v>1371.683</v>
      </c>
      <c r="K17" s="116">
        <f t="shared" si="2"/>
        <v>1422.7550000000001</v>
      </c>
      <c r="L17" s="171">
        <f>+IFERROR(VLOOKUP(C17,'Nemlig Q4'!$A$2:$J$52,6,FALSE),0)</f>
        <v>0</v>
      </c>
      <c r="M17" s="171">
        <f>+IFERROR(VLOOKUP(C17,'Nemlig Q4'!$A$2:$J$52,10,FALSE),0)</f>
        <v>0</v>
      </c>
      <c r="N17" s="22">
        <f>+IFERROR(VLOOKUP(B17,'Hørkram Q4'!$B$6:$G$60,6,FALSE),"0")</f>
        <v>1358.7349999999999</v>
      </c>
      <c r="O17" s="116">
        <f>+IFERROR(VLOOKUP(B17,'Hørkram Q4'!$B$6:$G$60,5,FALSE),"0")</f>
        <v>1409.807</v>
      </c>
      <c r="P17" s="156"/>
      <c r="Q17" s="157"/>
      <c r="R17" s="101">
        <v>12.948</v>
      </c>
      <c r="S17" s="110">
        <v>12.948</v>
      </c>
      <c r="T17" s="118"/>
      <c r="U17" s="105"/>
    </row>
    <row r="18" spans="1:24" ht="15.75" x14ac:dyDescent="0.25">
      <c r="A18" s="11" t="s">
        <v>234</v>
      </c>
      <c r="B18" s="36"/>
      <c r="C18" s="221">
        <v>1198425</v>
      </c>
      <c r="D18" s="221"/>
      <c r="E18" s="221"/>
      <c r="F18" s="221"/>
      <c r="G18" s="36" t="s">
        <v>174</v>
      </c>
      <c r="H18" s="36" t="s">
        <v>119</v>
      </c>
      <c r="I18" s="21">
        <f t="shared" ref="I18" si="8">(J18*100)/K18</f>
        <v>65.918427922853283</v>
      </c>
      <c r="J18" s="22">
        <f t="shared" ref="J18" si="9">+L18+N18+P18+R18+T18</f>
        <v>195.43100000000001</v>
      </c>
      <c r="K18" s="116">
        <f t="shared" ref="K18" si="10">+M18+O18+Q18+S18+U18</f>
        <v>296.47399999999999</v>
      </c>
      <c r="L18" s="171">
        <f>+IFERROR(VLOOKUP(C18,'Nemlig Q4'!$A$2:$J$52,6,FALSE),0)</f>
        <v>195.43100000000001</v>
      </c>
      <c r="M18" s="171">
        <f>+IFERROR(VLOOKUP(C18,'Nemlig Q4'!$A$2:$J$52,10,FALSE),0)</f>
        <v>296.47399999999999</v>
      </c>
      <c r="N18" s="22"/>
      <c r="O18" s="116"/>
      <c r="P18" s="156"/>
      <c r="Q18" s="157"/>
      <c r="R18" s="101"/>
      <c r="S18" s="110"/>
      <c r="T18" s="118"/>
      <c r="U18" s="105"/>
    </row>
    <row r="19" spans="1:24" ht="15.75" x14ac:dyDescent="0.25">
      <c r="A19" s="11" t="s">
        <v>79</v>
      </c>
      <c r="B19" s="36">
        <v>200135519</v>
      </c>
      <c r="C19" s="221"/>
      <c r="D19" s="221"/>
      <c r="E19" s="221"/>
      <c r="F19" s="221"/>
      <c r="G19" s="36" t="s">
        <v>174</v>
      </c>
      <c r="H19" s="36" t="s">
        <v>119</v>
      </c>
      <c r="I19" s="21">
        <f t="shared" si="0"/>
        <v>90.987409455277728</v>
      </c>
      <c r="J19" s="22">
        <f t="shared" si="1"/>
        <v>1048.2249999999999</v>
      </c>
      <c r="K19" s="116">
        <f t="shared" si="2"/>
        <v>1152.0550000000001</v>
      </c>
      <c r="L19" s="171">
        <f>+IFERROR(VLOOKUP(C19,'Nemlig Q4'!$A$2:$J$52,6,FALSE),0)</f>
        <v>0</v>
      </c>
      <c r="M19" s="171">
        <f>+IFERROR(VLOOKUP(C19,'Nemlig Q4'!$A$2:$J$52,10,FALSE),0)</f>
        <v>0</v>
      </c>
      <c r="N19" s="22">
        <f>+IFERROR(VLOOKUP(B19,'Hørkram Q4'!$B$6:$G$60,6,FALSE),"0")</f>
        <v>1040.2249999999999</v>
      </c>
      <c r="O19" s="116">
        <f>+IFERROR(VLOOKUP(B19,'Hørkram Q4'!$B$6:$G$60,5,FALSE),"0")</f>
        <v>1143.077</v>
      </c>
      <c r="P19" s="147"/>
      <c r="Q19" s="148"/>
      <c r="R19" s="111">
        <v>8</v>
      </c>
      <c r="S19" s="109">
        <v>8.9779999999999998</v>
      </c>
      <c r="T19" s="118"/>
      <c r="U19" s="105"/>
    </row>
    <row r="20" spans="1:24" ht="15.75" x14ac:dyDescent="0.25">
      <c r="A20" s="11" t="s">
        <v>4</v>
      </c>
      <c r="B20" s="36">
        <v>200025919</v>
      </c>
      <c r="C20" s="221">
        <v>2163049</v>
      </c>
      <c r="D20" s="221">
        <v>1017038</v>
      </c>
      <c r="E20" s="221"/>
      <c r="F20" s="221"/>
      <c r="G20" s="36" t="s">
        <v>174</v>
      </c>
      <c r="H20" s="36" t="s">
        <v>119</v>
      </c>
      <c r="I20" s="21">
        <f t="shared" si="0"/>
        <v>99.375111292843627</v>
      </c>
      <c r="J20" s="22">
        <f t="shared" si="1"/>
        <v>1808.154</v>
      </c>
      <c r="K20" s="116">
        <f t="shared" si="2"/>
        <v>1819.5239999999999</v>
      </c>
      <c r="L20" s="171">
        <f>+IFERROR(VLOOKUP(C20,'Nemlig Q4'!$A$2:$J$52,6,FALSE),0)</f>
        <v>57</v>
      </c>
      <c r="M20" s="171">
        <f>+IFERROR(VLOOKUP(C20,'Nemlig Q4'!$A$2:$J$52,10,FALSE),0)</f>
        <v>63.86</v>
      </c>
      <c r="N20" s="22">
        <f>+IFERROR(VLOOKUP(B20,'Hørkram Q4'!$B$6:$G$60,6,FALSE),"0")</f>
        <v>1733.01</v>
      </c>
      <c r="O20" s="116">
        <f>+IFERROR(VLOOKUP(B20,'Hørkram Q4'!$B$6:$G$60,5,FALSE),"0")</f>
        <v>1737.52</v>
      </c>
      <c r="P20" s="156"/>
      <c r="Q20" s="157"/>
      <c r="R20" s="111">
        <v>18.143999999999998</v>
      </c>
      <c r="S20" s="109">
        <v>18.143999999999998</v>
      </c>
      <c r="T20" s="118"/>
      <c r="U20" s="105"/>
    </row>
    <row r="21" spans="1:24" ht="15.75" x14ac:dyDescent="0.25">
      <c r="A21" s="11" t="s">
        <v>5</v>
      </c>
      <c r="B21" s="36">
        <v>200025926</v>
      </c>
      <c r="C21" s="221"/>
      <c r="D21" s="221"/>
      <c r="E21" s="221"/>
      <c r="F21" s="221"/>
      <c r="G21" s="36" t="s">
        <v>174</v>
      </c>
      <c r="H21" s="36" t="s">
        <v>119</v>
      </c>
      <c r="I21" s="21">
        <f t="shared" si="0"/>
        <v>79.366823074630062</v>
      </c>
      <c r="J21" s="22">
        <f>+L21+N21+P21+R22+T21</f>
        <v>2579.9670000000001</v>
      </c>
      <c r="K21" s="116">
        <f t="shared" si="2"/>
        <v>3250.6870000000004</v>
      </c>
      <c r="L21" s="171">
        <f>+IFERROR(VLOOKUP(C21,'Nemlig Q4'!$A$2:$J$52,6,FALSE),0)</f>
        <v>0</v>
      </c>
      <c r="M21" s="171">
        <f>+IFERROR(VLOOKUP(C21,'Nemlig Q4'!$A$2:$J$52,10,FALSE),0)</f>
        <v>0</v>
      </c>
      <c r="N21" s="22">
        <f>+IFERROR(VLOOKUP(B21,'Hørkram Q4'!$B$6:$G$60,6,FALSE),"0")</f>
        <v>2577.123</v>
      </c>
      <c r="O21" s="116">
        <f>+IFERROR(VLOOKUP(B21,'Hørkram Q4'!$B$6:$G$60,5,FALSE),"0")</f>
        <v>3190.0210000000002</v>
      </c>
      <c r="P21" s="147"/>
      <c r="Q21" s="148"/>
      <c r="R21" s="97">
        <v>0.28799999999999998</v>
      </c>
      <c r="S21" s="109">
        <v>60.665999999999997</v>
      </c>
      <c r="T21" s="118"/>
      <c r="U21" s="105"/>
    </row>
    <row r="22" spans="1:24" ht="15.75" x14ac:dyDescent="0.25">
      <c r="A22" s="11" t="s">
        <v>55</v>
      </c>
      <c r="B22" s="36">
        <v>200159577</v>
      </c>
      <c r="C22" s="221"/>
      <c r="D22" s="221"/>
      <c r="E22" s="221"/>
      <c r="F22" s="221"/>
      <c r="G22" s="36" t="s">
        <v>174</v>
      </c>
      <c r="H22" s="36" t="s">
        <v>119</v>
      </c>
      <c r="I22" s="21">
        <f t="shared" si="0"/>
        <v>96.500422541529716</v>
      </c>
      <c r="J22" s="22">
        <f>+L22+N22+P22+R23+T22</f>
        <v>3183.63</v>
      </c>
      <c r="K22" s="116">
        <f t="shared" si="2"/>
        <v>3299.0839999999998</v>
      </c>
      <c r="L22" s="171">
        <f>+IFERROR(VLOOKUP(C22,'Nemlig Q4'!$A$2:$J$52,6,FALSE),0)</f>
        <v>0</v>
      </c>
      <c r="M22" s="171">
        <f>+IFERROR(VLOOKUP(C22,'Nemlig Q4'!$A$2:$J$52,10,FALSE),0)</f>
        <v>0</v>
      </c>
      <c r="N22" s="22">
        <f>+IFERROR(VLOOKUP(B22,'Hørkram Q4'!$B$6:$G$60,6,FALSE),"0")</f>
        <v>3183.63</v>
      </c>
      <c r="O22" s="116">
        <f>+IFERROR(VLOOKUP(B22,'Hørkram Q4'!$B$6:$G$60,5,FALSE),"0")</f>
        <v>3296.24</v>
      </c>
      <c r="P22" s="156"/>
      <c r="Q22" s="157"/>
      <c r="R22" s="111">
        <v>2.8439999999999999</v>
      </c>
      <c r="S22" s="109">
        <v>2.8439999999999999</v>
      </c>
      <c r="T22" s="118"/>
      <c r="U22" s="105"/>
    </row>
    <row r="23" spans="1:24" x14ac:dyDescent="0.25">
      <c r="A23" s="11" t="s">
        <v>127</v>
      </c>
      <c r="B23" s="36">
        <v>200095578</v>
      </c>
      <c r="C23" s="221">
        <v>2243447</v>
      </c>
      <c r="D23" s="221"/>
      <c r="E23" s="221"/>
      <c r="F23" s="221"/>
      <c r="G23" s="36" t="s">
        <v>174</v>
      </c>
      <c r="H23" s="36" t="s">
        <v>121</v>
      </c>
      <c r="I23" s="21">
        <f t="shared" si="0"/>
        <v>31.248826379239119</v>
      </c>
      <c r="J23" s="22">
        <f>+L23+N23+P23+R23+T23</f>
        <v>199.69499999999999</v>
      </c>
      <c r="K23" s="116">
        <f t="shared" si="2"/>
        <v>639.048</v>
      </c>
      <c r="L23" s="171">
        <f>+IFERROR(VLOOKUP(C23,'Nemlig Q4'!$A$2:$J$52,6,FALSE),0)</f>
        <v>1</v>
      </c>
      <c r="M23" s="171">
        <f>+IFERROR(VLOOKUP(C23,'Nemlig Q4'!$A$2:$J$52,10,FALSE),0)</f>
        <v>45.73</v>
      </c>
      <c r="N23" s="22">
        <f>+IFERROR(VLOOKUP(B23,'Hørkram Q4'!$B$6:$G$60,6,FALSE),"0")</f>
        <v>198.69499999999999</v>
      </c>
      <c r="O23" s="116">
        <f>+IFERROR(VLOOKUP(B23,'Hørkram Q4'!$B$6:$G$60,5,FALSE),"0")</f>
        <v>593.31799999999998</v>
      </c>
      <c r="P23" s="147"/>
      <c r="Q23" s="148"/>
      <c r="R23" s="101"/>
      <c r="S23" s="98"/>
      <c r="T23" s="118"/>
      <c r="U23" s="105"/>
    </row>
    <row r="24" spans="1:24" x14ac:dyDescent="0.2">
      <c r="A24" s="15" t="s">
        <v>100</v>
      </c>
      <c r="B24" s="36"/>
      <c r="C24" s="221">
        <v>2251396</v>
      </c>
      <c r="D24" s="221"/>
      <c r="E24" s="221"/>
      <c r="F24" s="221"/>
      <c r="G24" s="36" t="s">
        <v>174</v>
      </c>
      <c r="H24" s="36" t="s">
        <v>126</v>
      </c>
      <c r="I24" s="21" t="str">
        <f>IFERROR(((J24*100)/K24)," ")</f>
        <v xml:space="preserve"> </v>
      </c>
      <c r="J24" s="22">
        <f t="shared" ref="J24" si="11">+L24+N24+P24+R24+T24</f>
        <v>0</v>
      </c>
      <c r="K24" s="116">
        <f>+M24+O24+Q24+S24+U24</f>
        <v>0</v>
      </c>
      <c r="L24" s="171">
        <f>+IFERROR(VLOOKUP(C24,'Nemlig Q4'!$A$2:$J$52,6,FALSE),0)</f>
        <v>0</v>
      </c>
      <c r="M24" s="171">
        <f>+IFERROR(VLOOKUP(C24,'Nemlig Q4'!$A$2:$J$52,10,FALSE),0)</f>
        <v>0</v>
      </c>
      <c r="N24" s="22"/>
      <c r="O24" s="116"/>
      <c r="P24" s="147"/>
      <c r="Q24" s="148"/>
      <c r="R24" s="101"/>
      <c r="S24" s="98"/>
      <c r="T24" s="118"/>
      <c r="U24" s="105"/>
      <c r="V24" s="130"/>
      <c r="W24" s="146"/>
      <c r="X24" s="146"/>
    </row>
    <row r="25" spans="1:24" ht="15.75" x14ac:dyDescent="0.25">
      <c r="A25" s="15" t="s">
        <v>6</v>
      </c>
      <c r="B25" s="36">
        <v>200034485</v>
      </c>
      <c r="C25" s="221">
        <v>1017649</v>
      </c>
      <c r="D25" s="221"/>
      <c r="E25" s="221"/>
      <c r="F25" s="221"/>
      <c r="G25" s="36" t="s">
        <v>174</v>
      </c>
      <c r="H25" s="36" t="s">
        <v>119</v>
      </c>
      <c r="I25" s="21">
        <f t="shared" si="0"/>
        <v>99.938060360179009</v>
      </c>
      <c r="J25" s="22">
        <f t="shared" si="1"/>
        <v>1613.4749999999999</v>
      </c>
      <c r="K25" s="116">
        <f t="shared" si="2"/>
        <v>1614.4749999999999</v>
      </c>
      <c r="L25" s="171">
        <f>+IFERROR(VLOOKUP(C25,'Nemlig Q4'!$A$2:$J$52,6,FALSE),0)</f>
        <v>0</v>
      </c>
      <c r="M25" s="171">
        <f>+IFERROR(VLOOKUP(C25,'Nemlig Q4'!$A$2:$J$52,10,FALSE),0)</f>
        <v>0</v>
      </c>
      <c r="N25" s="22">
        <f>+IFERROR(VLOOKUP(B25,'Hørkram Q4'!$B$6:$G$60,6,FALSE),"0")</f>
        <v>1597.4749999999999</v>
      </c>
      <c r="O25" s="116">
        <f>+IFERROR(VLOOKUP(B25,'Hørkram Q4'!$B$6:$G$60,5,FALSE),"0")</f>
        <v>1598.4749999999999</v>
      </c>
      <c r="P25" s="147"/>
      <c r="Q25" s="148"/>
      <c r="R25" s="111">
        <v>16</v>
      </c>
      <c r="S25" s="115">
        <v>16</v>
      </c>
      <c r="T25" s="118"/>
      <c r="U25" s="105"/>
      <c r="V25" s="130"/>
      <c r="W25" s="146"/>
      <c r="X25" s="146"/>
    </row>
    <row r="26" spans="1:24" ht="15.75" x14ac:dyDescent="0.25">
      <c r="A26" s="11" t="s">
        <v>36</v>
      </c>
      <c r="B26" s="36"/>
      <c r="C26" s="221"/>
      <c r="D26" s="221"/>
      <c r="E26" s="221"/>
      <c r="F26" s="221"/>
      <c r="G26" s="36" t="s">
        <v>175</v>
      </c>
      <c r="H26" s="36" t="s">
        <v>126</v>
      </c>
      <c r="I26" s="21" t="str">
        <f>IFERROR(((J26*100)/K26),"")</f>
        <v/>
      </c>
      <c r="J26" s="22">
        <f t="shared" si="1"/>
        <v>0</v>
      </c>
      <c r="K26" s="116">
        <f t="shared" si="2"/>
        <v>0</v>
      </c>
      <c r="L26" s="171">
        <f>+IFERROR(VLOOKUP(C26,'Nemlig Q4'!$A$2:$J$52,6,FALSE),0)</f>
        <v>0</v>
      </c>
      <c r="M26" s="171">
        <f>+IFERROR(VLOOKUP(C26,'Nemlig Q4'!$A$2:$J$52,10,FALSE),0)</f>
        <v>0</v>
      </c>
      <c r="N26" s="22"/>
      <c r="O26" s="116"/>
      <c r="P26" s="156"/>
      <c r="Q26" s="157"/>
      <c r="R26" s="101"/>
      <c r="S26" s="110"/>
      <c r="T26" s="118"/>
      <c r="U26" s="105"/>
      <c r="V26" s="130"/>
      <c r="W26" s="146"/>
      <c r="X26" s="146"/>
    </row>
    <row r="27" spans="1:24" ht="15.75" x14ac:dyDescent="0.25">
      <c r="A27" s="11" t="s">
        <v>51</v>
      </c>
      <c r="B27" s="36"/>
      <c r="C27" s="221">
        <v>2251036</v>
      </c>
      <c r="D27" s="221"/>
      <c r="E27" s="221"/>
      <c r="F27" s="221"/>
      <c r="G27" s="36" t="s">
        <v>175</v>
      </c>
      <c r="H27" s="36" t="s">
        <v>126</v>
      </c>
      <c r="I27" s="21">
        <f>IFERROR(((J27*100)/K27),"")</f>
        <v>79.133377197104991</v>
      </c>
      <c r="J27" s="22">
        <f t="shared" si="1"/>
        <v>168.38</v>
      </c>
      <c r="K27" s="116">
        <f t="shared" si="2"/>
        <v>212.78</v>
      </c>
      <c r="L27" s="171">
        <f>+IFERROR(VLOOKUP(C27,'Nemlig Q4'!$A$2:$J$52,6,FALSE),0)</f>
        <v>0</v>
      </c>
      <c r="M27" s="171">
        <f>+IFERROR(VLOOKUP(C27,'Nemlig Q4'!$A$2:$J$52,10,FALSE),0)</f>
        <v>44.4</v>
      </c>
      <c r="N27" s="22"/>
      <c r="O27" s="116"/>
      <c r="P27" s="156"/>
      <c r="Q27" s="157"/>
      <c r="R27" s="111">
        <v>168.38</v>
      </c>
      <c r="S27" s="115">
        <v>168.38</v>
      </c>
      <c r="T27" s="118"/>
      <c r="U27" s="105"/>
      <c r="V27" s="130"/>
      <c r="W27" s="146"/>
      <c r="X27" s="146"/>
    </row>
    <row r="28" spans="1:24" x14ac:dyDescent="0.2">
      <c r="A28" s="11" t="s">
        <v>78</v>
      </c>
      <c r="B28" s="36"/>
      <c r="C28" s="221">
        <v>1192523</v>
      </c>
      <c r="D28" s="221"/>
      <c r="E28" s="221"/>
      <c r="F28" s="221"/>
      <c r="G28" s="36" t="s">
        <v>174</v>
      </c>
      <c r="H28" s="36" t="s">
        <v>122</v>
      </c>
      <c r="I28" s="21">
        <f t="shared" si="0"/>
        <v>11.661721915924273</v>
      </c>
      <c r="J28" s="22">
        <f t="shared" si="1"/>
        <v>57.152000000000001</v>
      </c>
      <c r="K28" s="116">
        <f t="shared" si="2"/>
        <v>490.08199999999999</v>
      </c>
      <c r="L28" s="171">
        <f>+IFERROR(VLOOKUP(C28,'Nemlig Q4'!$A$2:$J$52,6,FALSE),0)</f>
        <v>57.152000000000001</v>
      </c>
      <c r="M28" s="171">
        <f>+IFERROR(VLOOKUP(C28,'Nemlig Q4'!$A$2:$J$52,10,FALSE),0)</f>
        <v>490.08199999999999</v>
      </c>
      <c r="N28" s="22"/>
      <c r="O28" s="116"/>
      <c r="P28" s="147"/>
      <c r="Q28" s="148"/>
      <c r="R28" s="101"/>
      <c r="S28" s="98"/>
      <c r="T28" s="118"/>
      <c r="U28" s="105"/>
      <c r="V28" s="130"/>
      <c r="W28" s="146"/>
      <c r="X28" s="146"/>
    </row>
    <row r="29" spans="1:24" x14ac:dyDescent="0.2">
      <c r="A29" s="11" t="s">
        <v>77</v>
      </c>
      <c r="B29" s="36"/>
      <c r="C29" s="221">
        <v>1149830</v>
      </c>
      <c r="D29" s="221"/>
      <c r="E29" s="221"/>
      <c r="F29" s="221"/>
      <c r="G29" s="36" t="s">
        <v>175</v>
      </c>
      <c r="H29" s="36" t="s">
        <v>126</v>
      </c>
      <c r="I29" s="21">
        <f>IFERROR(((J29*100)/K29)," ")</f>
        <v>1.2028776022196748</v>
      </c>
      <c r="J29" s="22">
        <f t="shared" si="1"/>
        <v>2.1720000000000002</v>
      </c>
      <c r="K29" s="116">
        <f t="shared" si="2"/>
        <v>180.56700000000001</v>
      </c>
      <c r="L29" s="171">
        <f>+IFERROR(VLOOKUP(C29,'Nemlig Q4'!$A$2:$J$52,6,FALSE),0)</f>
        <v>2.1720000000000002</v>
      </c>
      <c r="M29" s="171">
        <f>+IFERROR(VLOOKUP(C29,'Nemlig Q4'!$A$2:$J$52,10,FALSE),0)</f>
        <v>180.56700000000001</v>
      </c>
      <c r="N29" s="22"/>
      <c r="O29" s="116"/>
      <c r="P29" s="147"/>
      <c r="Q29" s="148"/>
      <c r="R29" s="101"/>
      <c r="S29" s="98"/>
      <c r="T29" s="118"/>
      <c r="U29" s="105"/>
      <c r="V29" s="130"/>
      <c r="W29" s="146"/>
      <c r="X29" s="146"/>
    </row>
    <row r="30" spans="1:24" x14ac:dyDescent="0.2">
      <c r="A30" s="11" t="s">
        <v>18</v>
      </c>
      <c r="B30" s="36">
        <v>200140049</v>
      </c>
      <c r="C30" s="221">
        <v>2162723</v>
      </c>
      <c r="D30" s="221"/>
      <c r="E30" s="221"/>
      <c r="F30" s="221"/>
      <c r="G30" s="36" t="s">
        <v>174</v>
      </c>
      <c r="H30" s="36" t="s">
        <v>119</v>
      </c>
      <c r="I30" s="21">
        <f t="shared" si="0"/>
        <v>75.183942787883666</v>
      </c>
      <c r="J30" s="22">
        <f t="shared" si="1"/>
        <v>597.98</v>
      </c>
      <c r="K30" s="116">
        <f t="shared" si="2"/>
        <v>795.35599999999999</v>
      </c>
      <c r="L30" s="171">
        <f>+IFERROR(VLOOKUP(C30,'Nemlig Q4'!$A$2:$J$52,6,FALSE),0)</f>
        <v>0</v>
      </c>
      <c r="M30" s="171">
        <f>+IFERROR(VLOOKUP(C30,'Nemlig Q4'!$A$2:$J$52,10,FALSE),0)</f>
        <v>0</v>
      </c>
      <c r="N30" s="22">
        <f>+IFERROR(VLOOKUP(B30,'Hørkram Q4'!$B$6:$G$60,6,FALSE),"0")</f>
        <v>597.98</v>
      </c>
      <c r="O30" s="116">
        <f>+IFERROR(VLOOKUP(B30,'Hørkram Q4'!$B$6:$G$60,5,FALSE),"0")</f>
        <v>795.35599999999999</v>
      </c>
      <c r="P30" s="147"/>
      <c r="Q30" s="148"/>
      <c r="R30" s="101"/>
      <c r="S30" s="98"/>
      <c r="T30" s="118"/>
      <c r="U30" s="105"/>
      <c r="V30" s="130"/>
      <c r="W30" s="146"/>
      <c r="X30" s="146"/>
    </row>
    <row r="31" spans="1:24" x14ac:dyDescent="0.2">
      <c r="A31" s="11" t="s">
        <v>104</v>
      </c>
      <c r="B31" s="36">
        <v>200185279</v>
      </c>
      <c r="C31" s="221"/>
      <c r="D31" s="221"/>
      <c r="E31" s="221"/>
      <c r="F31" s="221"/>
      <c r="G31" s="36" t="s">
        <v>175</v>
      </c>
      <c r="H31" s="36" t="s">
        <v>121</v>
      </c>
      <c r="I31" s="21" t="str">
        <f>IFERROR(((J31*100)/K31)," ")</f>
        <v xml:space="preserve"> </v>
      </c>
      <c r="J31" s="22">
        <f t="shared" si="1"/>
        <v>0</v>
      </c>
      <c r="K31" s="116">
        <f t="shared" si="2"/>
        <v>0</v>
      </c>
      <c r="L31" s="171">
        <f>+IFERROR(VLOOKUP(C31,'Nemlig Q4'!$A$2:$J$52,6,FALSE),0)</f>
        <v>0</v>
      </c>
      <c r="M31" s="171">
        <f>+IFERROR(VLOOKUP(C31,'Nemlig Q4'!$A$2:$J$52,10,FALSE),0)</f>
        <v>0</v>
      </c>
      <c r="N31" s="22"/>
      <c r="O31" s="116"/>
      <c r="P31" s="147"/>
      <c r="Q31" s="148"/>
      <c r="R31" s="101"/>
      <c r="S31" s="116"/>
      <c r="T31" s="118"/>
      <c r="U31" s="105"/>
      <c r="V31" s="130"/>
      <c r="W31" s="146"/>
      <c r="X31" s="146"/>
    </row>
    <row r="32" spans="1:24" ht="15.75" x14ac:dyDescent="0.25">
      <c r="A32" s="11" t="s">
        <v>139</v>
      </c>
      <c r="B32" s="36">
        <v>200012841</v>
      </c>
      <c r="C32" s="221">
        <v>2248847</v>
      </c>
      <c r="D32" s="221"/>
      <c r="E32" s="221"/>
      <c r="F32" s="221"/>
      <c r="G32" s="36" t="s">
        <v>174</v>
      </c>
      <c r="H32" s="36" t="s">
        <v>119</v>
      </c>
      <c r="I32" s="21">
        <f t="shared" si="0"/>
        <v>88.569603838423134</v>
      </c>
      <c r="J32" s="22">
        <f t="shared" si="1"/>
        <v>1366.009</v>
      </c>
      <c r="K32" s="116">
        <f t="shared" si="2"/>
        <v>1542.3</v>
      </c>
      <c r="L32" s="171">
        <f>+IFERROR(VLOOKUP(C32,'Nemlig Q4'!$A$2:$J$52,6,FALSE),0)</f>
        <v>0</v>
      </c>
      <c r="M32" s="171">
        <f>+IFERROR(VLOOKUP(C32,'Nemlig Q4'!$A$2:$J$52,10,FALSE),0)</f>
        <v>0</v>
      </c>
      <c r="N32" s="22">
        <f>+IFERROR(VLOOKUP(B32,'Hørkram Q4'!$B$6:$G$60,6,FALSE),"0")</f>
        <v>1351.009</v>
      </c>
      <c r="O32" s="116">
        <f>+IFERROR(VLOOKUP(B32,'Hørkram Q4'!$B$6:$G$60,5,FALSE),"0")</f>
        <v>1526.922</v>
      </c>
      <c r="P32" s="156"/>
      <c r="Q32" s="157"/>
      <c r="R32" s="151">
        <v>15</v>
      </c>
      <c r="S32" s="102">
        <v>15.378</v>
      </c>
      <c r="T32" s="118"/>
      <c r="U32" s="105"/>
      <c r="V32" s="130"/>
      <c r="W32" s="146"/>
      <c r="X32" s="146"/>
    </row>
    <row r="33" spans="1:22" ht="15.75" x14ac:dyDescent="0.25">
      <c r="A33" s="11" t="s">
        <v>34</v>
      </c>
      <c r="B33" s="36">
        <v>200107653</v>
      </c>
      <c r="C33" s="221"/>
      <c r="D33" s="221"/>
      <c r="E33" s="221"/>
      <c r="F33" s="221"/>
      <c r="G33" s="36" t="s">
        <v>174</v>
      </c>
      <c r="H33" s="36" t="s">
        <v>119</v>
      </c>
      <c r="I33" s="21">
        <f t="shared" si="0"/>
        <v>88.122592832921669</v>
      </c>
      <c r="J33" s="22">
        <f t="shared" si="1"/>
        <v>673.59500000000003</v>
      </c>
      <c r="K33" s="116">
        <f t="shared" si="2"/>
        <v>764.38400000000001</v>
      </c>
      <c r="L33" s="171">
        <f>+IFERROR(VLOOKUP(C33,'Nemlig Q4'!$A$2:$J$52,6,FALSE),0)</f>
        <v>0</v>
      </c>
      <c r="M33" s="171">
        <f>+IFERROR(VLOOKUP(C33,'Nemlig Q4'!$A$2:$J$52,10,FALSE),0)</f>
        <v>0</v>
      </c>
      <c r="N33" s="22">
        <f>+IFERROR(VLOOKUP(B33,'Hørkram Q4'!$B$6:$G$60,6,FALSE),"0")</f>
        <v>665.59500000000003</v>
      </c>
      <c r="O33" s="116">
        <f>+IFERROR(VLOOKUP(B33,'Hørkram Q4'!$B$6:$G$60,5,FALSE),"0")</f>
        <v>756.38400000000001</v>
      </c>
      <c r="P33" s="156"/>
      <c r="Q33" s="157"/>
      <c r="R33" s="101">
        <v>8</v>
      </c>
      <c r="S33" s="110">
        <v>8</v>
      </c>
      <c r="T33" s="118"/>
      <c r="U33" s="105"/>
      <c r="V33" s="30"/>
    </row>
    <row r="34" spans="1:22" ht="15.75" x14ac:dyDescent="0.25">
      <c r="A34" s="11" t="s">
        <v>7</v>
      </c>
      <c r="B34" s="36">
        <v>200040189</v>
      </c>
      <c r="C34" s="221">
        <v>2164133</v>
      </c>
      <c r="D34" s="221"/>
      <c r="E34" s="221"/>
      <c r="F34" s="221"/>
      <c r="G34" s="36" t="s">
        <v>174</v>
      </c>
      <c r="H34" s="36" t="s">
        <v>119</v>
      </c>
      <c r="I34" s="21">
        <f t="shared" si="0"/>
        <v>92.167540895451367</v>
      </c>
      <c r="J34" s="22">
        <f t="shared" si="1"/>
        <v>1967.624</v>
      </c>
      <c r="K34" s="116">
        <f t="shared" si="2"/>
        <v>2134.8339999999998</v>
      </c>
      <c r="L34" s="171">
        <f>+IFERROR(VLOOKUP(C34,'Nemlig Q4'!$A$2:$J$52,6,FALSE),0)</f>
        <v>725.09400000000005</v>
      </c>
      <c r="M34" s="171">
        <f>+IFERROR(VLOOKUP(C34,'Nemlig Q4'!$A$2:$J$52,10,FALSE),0)</f>
        <v>788.98900000000003</v>
      </c>
      <c r="N34" s="22">
        <f>+IFERROR(VLOOKUP(B34,'Hørkram Q4'!$B$6:$G$60,6,FALSE),"0")</f>
        <v>1226.242</v>
      </c>
      <c r="O34" s="116">
        <f>+IFERROR(VLOOKUP(B34,'Hørkram Q4'!$B$6:$G$60,5,FALSE),"0")</f>
        <v>1329.1969999999999</v>
      </c>
      <c r="P34" s="156"/>
      <c r="Q34" s="157"/>
      <c r="R34" s="111">
        <v>16.288</v>
      </c>
      <c r="S34" s="109">
        <v>16.648</v>
      </c>
      <c r="T34" s="118"/>
      <c r="U34" s="105"/>
      <c r="V34" s="30"/>
    </row>
    <row r="35" spans="1:22" ht="15.75" x14ac:dyDescent="0.25">
      <c r="A35" s="11" t="s">
        <v>106</v>
      </c>
      <c r="B35" s="36"/>
      <c r="C35" s="221"/>
      <c r="D35" s="221"/>
      <c r="E35" s="221"/>
      <c r="F35" s="221"/>
      <c r="G35" s="36" t="s">
        <v>175</v>
      </c>
      <c r="H35" s="36" t="s">
        <v>121</v>
      </c>
      <c r="I35" s="21" t="str">
        <f>IFERROR(((J35*100)/K35)," ")</f>
        <v xml:space="preserve"> </v>
      </c>
      <c r="J35" s="22">
        <f t="shared" si="1"/>
        <v>0</v>
      </c>
      <c r="K35" s="116">
        <f t="shared" si="2"/>
        <v>0</v>
      </c>
      <c r="L35" s="171">
        <f>+IFERROR(VLOOKUP(C35,'Nemlig Q4'!$A$2:$J$52,6,FALSE),0)</f>
        <v>0</v>
      </c>
      <c r="M35" s="171">
        <f>+IFERROR(VLOOKUP(C35,'Nemlig Q4'!$A$2:$J$52,10,FALSE),0)</f>
        <v>0</v>
      </c>
      <c r="N35" s="22"/>
      <c r="O35" s="116"/>
      <c r="P35" s="156"/>
      <c r="Q35" s="157"/>
      <c r="R35" s="111"/>
      <c r="S35" s="109"/>
      <c r="T35" s="118"/>
      <c r="U35" s="105"/>
      <c r="V35" s="30"/>
    </row>
    <row r="36" spans="1:22" ht="15.75" x14ac:dyDescent="0.25">
      <c r="A36" s="11" t="s">
        <v>95</v>
      </c>
      <c r="B36" s="36"/>
      <c r="C36" s="221">
        <v>2200834</v>
      </c>
      <c r="D36" s="221"/>
      <c r="E36" s="221"/>
      <c r="F36" s="221"/>
      <c r="G36" s="36" t="s">
        <v>175</v>
      </c>
      <c r="H36" s="36" t="s">
        <v>120</v>
      </c>
      <c r="I36" s="21" t="str">
        <f>IFERROR(((J36*100)/K36)," ")</f>
        <v xml:space="preserve"> </v>
      </c>
      <c r="J36" s="22">
        <f t="shared" ref="J36:J66" si="12">+L36+N36+P36+R36+T36</f>
        <v>0</v>
      </c>
      <c r="K36" s="116">
        <f t="shared" ref="K36:K66" si="13">+M36+O36+Q36+S36+U36</f>
        <v>0</v>
      </c>
      <c r="L36" s="171">
        <f>+IFERROR(VLOOKUP(C36,'Nemlig Q4'!$A$2:$J$52,6,FALSE),0)</f>
        <v>0</v>
      </c>
      <c r="M36" s="171">
        <f>+IFERROR(VLOOKUP(C36,'Nemlig Q4'!$A$2:$J$52,10,FALSE),0)</f>
        <v>0</v>
      </c>
      <c r="N36" s="22" t="str">
        <f>+IFERROR(VLOOKUP(B36,'Hørkram Q4'!$B$6:$G$60,6,FALSE),"0")</f>
        <v>0</v>
      </c>
      <c r="O36" s="116" t="str">
        <f>+IFERROR(VLOOKUP(B36,'Hørkram Q4'!$B$6:$G$60,5,FALSE),"0")</f>
        <v>0</v>
      </c>
      <c r="P36" s="147"/>
      <c r="Q36" s="148"/>
      <c r="R36" s="151"/>
      <c r="S36" s="114"/>
      <c r="T36" s="118"/>
      <c r="U36" s="105"/>
      <c r="V36" s="30"/>
    </row>
    <row r="37" spans="1:22" x14ac:dyDescent="0.25">
      <c r="A37" s="11" t="s">
        <v>19</v>
      </c>
      <c r="B37" s="36"/>
      <c r="C37" s="221"/>
      <c r="D37" s="221"/>
      <c r="E37" s="221"/>
      <c r="F37" s="221"/>
      <c r="G37" s="36" t="s">
        <v>175</v>
      </c>
      <c r="H37" s="36" t="s">
        <v>121</v>
      </c>
      <c r="I37" s="21" t="str">
        <f t="shared" ref="I37:I38" si="14">IFERROR(((J37*100)/K37)," ")</f>
        <v xml:space="preserve"> </v>
      </c>
      <c r="J37" s="22">
        <f t="shared" si="12"/>
        <v>0</v>
      </c>
      <c r="K37" s="116">
        <f t="shared" si="13"/>
        <v>0</v>
      </c>
      <c r="L37" s="171">
        <f>+IFERROR(VLOOKUP(C37,'Nemlig Q4'!$A$2:$J$52,6,FALSE),0)</f>
        <v>0</v>
      </c>
      <c r="M37" s="171">
        <f>+IFERROR(VLOOKUP(C37,'Nemlig Q4'!$A$2:$J$52,10,FALSE),0)</f>
        <v>0</v>
      </c>
      <c r="N37" s="22" t="str">
        <f>+IFERROR(VLOOKUP(B37,'Hørkram Q4'!$B$6:$G$60,6,FALSE),"0")</f>
        <v>0</v>
      </c>
      <c r="O37" s="116" t="str">
        <f>+IFERROR(VLOOKUP(B37,'Hørkram Q4'!$B$6:$G$60,5,FALSE),"0")</f>
        <v>0</v>
      </c>
      <c r="P37" s="147"/>
      <c r="Q37" s="148"/>
      <c r="R37" s="101"/>
      <c r="S37" s="110"/>
      <c r="T37" s="118"/>
      <c r="U37" s="105"/>
      <c r="V37" s="30"/>
    </row>
    <row r="38" spans="1:22" ht="15.75" x14ac:dyDescent="0.25">
      <c r="A38" s="11" t="s">
        <v>90</v>
      </c>
      <c r="B38" s="36"/>
      <c r="C38" s="221">
        <v>2308205</v>
      </c>
      <c r="D38" s="221"/>
      <c r="E38" s="221"/>
      <c r="F38" s="221"/>
      <c r="G38" s="36" t="s">
        <v>175</v>
      </c>
      <c r="H38" s="36" t="s">
        <v>121</v>
      </c>
      <c r="I38" s="21" t="str">
        <f t="shared" si="14"/>
        <v xml:space="preserve"> </v>
      </c>
      <c r="J38" s="22">
        <f t="shared" si="12"/>
        <v>0</v>
      </c>
      <c r="K38" s="116">
        <f t="shared" si="13"/>
        <v>0</v>
      </c>
      <c r="L38" s="171">
        <f>+IFERROR(VLOOKUP(C38,'Nemlig Q4'!$A$2:$J$52,6,FALSE),0)</f>
        <v>0</v>
      </c>
      <c r="M38" s="171">
        <f>+IFERROR(VLOOKUP(C38,'Nemlig Q4'!$A$2:$J$52,10,FALSE),0)</f>
        <v>0</v>
      </c>
      <c r="N38" s="22" t="str">
        <f>+IFERROR(VLOOKUP(B38,'Hørkram Q4'!$B$6:$G$60,6,FALSE),"0")</f>
        <v>0</v>
      </c>
      <c r="O38" s="116" t="str">
        <f>+IFERROR(VLOOKUP(B38,'Hørkram Q4'!$B$6:$G$60,5,FALSE),"0")</f>
        <v>0</v>
      </c>
      <c r="P38" s="147"/>
      <c r="Q38" s="148"/>
      <c r="R38" s="111"/>
      <c r="S38" s="115"/>
      <c r="T38" s="118"/>
      <c r="U38" s="105"/>
      <c r="V38" s="30"/>
    </row>
    <row r="39" spans="1:22" x14ac:dyDescent="0.25">
      <c r="A39" s="11" t="s">
        <v>56</v>
      </c>
      <c r="B39" s="36"/>
      <c r="C39" s="221"/>
      <c r="D39" s="221"/>
      <c r="E39" s="221"/>
      <c r="F39" s="221"/>
      <c r="G39" s="36" t="s">
        <v>175</v>
      </c>
      <c r="H39" s="36" t="s">
        <v>121</v>
      </c>
      <c r="I39" s="21">
        <f>IFERROR(((J39*100)/K39)," ")</f>
        <v>100</v>
      </c>
      <c r="J39" s="22">
        <f t="shared" si="12"/>
        <v>30.84</v>
      </c>
      <c r="K39" s="116">
        <f t="shared" si="13"/>
        <v>30.84</v>
      </c>
      <c r="L39" s="171">
        <f>+IFERROR(VLOOKUP(C39,'Nemlig Q4'!$A$2:$J$52,6,FALSE),0)</f>
        <v>0</v>
      </c>
      <c r="M39" s="171">
        <f>+IFERROR(VLOOKUP(C39,'Nemlig Q4'!$A$2:$J$52,10,FALSE),0)</f>
        <v>0</v>
      </c>
      <c r="N39" s="22" t="str">
        <f>+IFERROR(VLOOKUP(B39,'Hørkram Q4'!$B$6:$G$60,6,FALSE),"0")</f>
        <v>0</v>
      </c>
      <c r="O39" s="116" t="str">
        <f>+IFERROR(VLOOKUP(B39,'Hørkram Q4'!$B$6:$G$60,5,FALSE),"0")</f>
        <v>0</v>
      </c>
      <c r="P39" s="147"/>
      <c r="Q39" s="148"/>
      <c r="R39" s="101">
        <v>30.84</v>
      </c>
      <c r="S39" s="98">
        <v>30.84</v>
      </c>
      <c r="T39" s="118"/>
      <c r="U39" s="105"/>
      <c r="V39" s="30"/>
    </row>
    <row r="40" spans="1:22" x14ac:dyDescent="0.25">
      <c r="A40" s="11" t="s">
        <v>65</v>
      </c>
      <c r="B40" s="36"/>
      <c r="C40" s="221">
        <v>2347486</v>
      </c>
      <c r="D40" s="221"/>
      <c r="E40" s="221"/>
      <c r="F40" s="221"/>
      <c r="G40" s="36" t="s">
        <v>175</v>
      </c>
      <c r="H40" s="36" t="s">
        <v>121</v>
      </c>
      <c r="I40" s="21">
        <f>IFERROR(((J40*100)/K40)," ")</f>
        <v>0</v>
      </c>
      <c r="J40" s="22">
        <f t="shared" si="12"/>
        <v>0</v>
      </c>
      <c r="K40" s="116">
        <f t="shared" si="13"/>
        <v>8.43</v>
      </c>
      <c r="L40" s="171">
        <f>+IFERROR(VLOOKUP(C40,'Nemlig Q4'!$A$2:$J$52,6,FALSE),0)</f>
        <v>0</v>
      </c>
      <c r="M40" s="171">
        <f>+IFERROR(VLOOKUP(C40,'Nemlig Q4'!$A$2:$J$52,10,FALSE),0)</f>
        <v>8.43</v>
      </c>
      <c r="N40" s="22" t="str">
        <f>+IFERROR(VLOOKUP(B40,'Hørkram Q4'!$B$6:$G$60,6,FALSE),"0")</f>
        <v>0</v>
      </c>
      <c r="O40" s="116" t="str">
        <f>+IFERROR(VLOOKUP(B40,'Hørkram Q4'!$B$6:$G$60,5,FALSE),"0")</f>
        <v>0</v>
      </c>
      <c r="P40" s="147"/>
      <c r="Q40" s="148"/>
      <c r="R40" s="101"/>
      <c r="S40" s="98"/>
      <c r="T40" s="118"/>
      <c r="U40" s="105"/>
      <c r="V40" s="30"/>
    </row>
    <row r="41" spans="1:22" x14ac:dyDescent="0.25">
      <c r="A41" s="11" t="s">
        <v>54</v>
      </c>
      <c r="B41" s="36"/>
      <c r="C41" s="221">
        <v>1066946</v>
      </c>
      <c r="D41" s="221"/>
      <c r="E41" s="221"/>
      <c r="F41" s="221"/>
      <c r="G41" s="36" t="s">
        <v>174</v>
      </c>
      <c r="H41" s="36" t="s">
        <v>121</v>
      </c>
      <c r="I41" s="21">
        <f t="shared" ref="I41:I66" si="15">(J41*100)/K41</f>
        <v>86.103341939185313</v>
      </c>
      <c r="J41" s="22">
        <f t="shared" si="12"/>
        <v>192.1</v>
      </c>
      <c r="K41" s="116">
        <f t="shared" si="13"/>
        <v>223.10400000000001</v>
      </c>
      <c r="L41" s="171">
        <f>+IFERROR(VLOOKUP(C41,'Nemlig Q4'!$A$2:$J$52,6,FALSE),0)</f>
        <v>174.1</v>
      </c>
      <c r="M41" s="171">
        <f>+IFERROR(VLOOKUP(C41,'Nemlig Q4'!$A$2:$J$52,10,FALSE),0)</f>
        <v>205.10400000000001</v>
      </c>
      <c r="N41" s="22" t="str">
        <f>+IFERROR(VLOOKUP(B41,'Hørkram Q4'!$B$6:$G$60,6,FALSE),"0")</f>
        <v>0</v>
      </c>
      <c r="O41" s="116" t="str">
        <f>+IFERROR(VLOOKUP(B41,'Hørkram Q4'!$B$6:$G$60,5,FALSE),"0")</f>
        <v>0</v>
      </c>
      <c r="P41" s="147"/>
      <c r="Q41" s="148"/>
      <c r="R41" s="101">
        <v>18</v>
      </c>
      <c r="S41" s="98">
        <v>18</v>
      </c>
      <c r="T41" s="118"/>
      <c r="U41" s="105"/>
      <c r="V41" s="30"/>
    </row>
    <row r="42" spans="1:22" ht="15.75" x14ac:dyDescent="0.25">
      <c r="A42" s="13" t="s">
        <v>75</v>
      </c>
      <c r="B42" s="37"/>
      <c r="C42" s="222">
        <v>2164274</v>
      </c>
      <c r="D42" s="222"/>
      <c r="E42" s="222"/>
      <c r="F42" s="222"/>
      <c r="G42" s="37" t="s">
        <v>175</v>
      </c>
      <c r="H42" s="36" t="s">
        <v>120</v>
      </c>
      <c r="I42" s="21">
        <f t="shared" si="15"/>
        <v>52.293832944140256</v>
      </c>
      <c r="J42" s="22">
        <f t="shared" si="12"/>
        <v>144.88999999999999</v>
      </c>
      <c r="K42" s="116">
        <f t="shared" si="13"/>
        <v>277.06900000000002</v>
      </c>
      <c r="L42" s="171">
        <f>+IFERROR(VLOOKUP(C42,'Nemlig Q4'!$A$2:$J$52,6,FALSE),0)</f>
        <v>144.88999999999999</v>
      </c>
      <c r="M42" s="171">
        <f>+IFERROR(VLOOKUP(C42,'Nemlig Q4'!$A$2:$J$52,10,FALSE),0)</f>
        <v>277.06900000000002</v>
      </c>
      <c r="N42" s="22" t="str">
        <f>+IFERROR(VLOOKUP(B42,'Hørkram Q4'!$B$6:$G$60,6,FALSE),"0")</f>
        <v>0</v>
      </c>
      <c r="O42" s="116" t="str">
        <f>+IFERROR(VLOOKUP(B42,'Hørkram Q4'!$B$6:$G$60,5,FALSE),"0")</f>
        <v>0</v>
      </c>
      <c r="P42" s="156"/>
      <c r="Q42" s="157"/>
      <c r="R42" s="101"/>
      <c r="S42" s="98"/>
      <c r="T42" s="120"/>
      <c r="U42" s="107"/>
      <c r="V42" s="30"/>
    </row>
    <row r="43" spans="1:22" ht="15.75" x14ac:dyDescent="0.25">
      <c r="A43" s="11" t="s">
        <v>76</v>
      </c>
      <c r="B43" s="36"/>
      <c r="C43" s="221">
        <v>1091281</v>
      </c>
      <c r="D43" s="221"/>
      <c r="E43" s="221"/>
      <c r="F43" s="221"/>
      <c r="G43" s="36" t="s">
        <v>175</v>
      </c>
      <c r="H43" s="36" t="s">
        <v>120</v>
      </c>
      <c r="I43" s="21">
        <f t="shared" si="15"/>
        <v>9.543288335544208</v>
      </c>
      <c r="J43" s="22">
        <f t="shared" si="12"/>
        <v>165.107</v>
      </c>
      <c r="K43" s="116">
        <f t="shared" si="13"/>
        <v>1730.085</v>
      </c>
      <c r="L43" s="171">
        <f>+IFERROR(VLOOKUP(C43,'Nemlig Q4'!$A$2:$J$52,6,FALSE),0)</f>
        <v>165.107</v>
      </c>
      <c r="M43" s="171">
        <f>+IFERROR(VLOOKUP(C43,'Nemlig Q4'!$A$2:$J$52,10,FALSE),0)</f>
        <v>1730.085</v>
      </c>
      <c r="N43" s="22" t="str">
        <f>+IFERROR(VLOOKUP(B43,'Hørkram Q4'!$B$6:$G$60,6,FALSE),"0")</f>
        <v>0</v>
      </c>
      <c r="O43" s="116" t="str">
        <f>+IFERROR(VLOOKUP(B43,'Hørkram Q4'!$B$6:$G$60,5,FALSE),"0")</f>
        <v>0</v>
      </c>
      <c r="P43" s="158"/>
      <c r="Q43" s="157"/>
      <c r="R43" s="101"/>
      <c r="S43" s="98"/>
      <c r="T43" s="118"/>
      <c r="U43" s="105"/>
      <c r="V43" s="30"/>
    </row>
    <row r="44" spans="1:22" ht="15.75" x14ac:dyDescent="0.25">
      <c r="A44" s="11" t="s">
        <v>50</v>
      </c>
      <c r="B44" s="36"/>
      <c r="C44" s="221"/>
      <c r="D44" s="221"/>
      <c r="E44" s="221"/>
      <c r="F44" s="221"/>
      <c r="G44" s="36" t="s">
        <v>175</v>
      </c>
      <c r="H44" s="36" t="s">
        <v>126</v>
      </c>
      <c r="I44" s="21">
        <f t="shared" si="15"/>
        <v>100</v>
      </c>
      <c r="J44" s="22">
        <f t="shared" si="12"/>
        <v>45.2</v>
      </c>
      <c r="K44" s="116">
        <f t="shared" si="13"/>
        <v>45.2</v>
      </c>
      <c r="L44" s="171">
        <f>+IFERROR(VLOOKUP(C44,'Nemlig Q4'!$A$2:$J$52,6,FALSE),0)</f>
        <v>0</v>
      </c>
      <c r="M44" s="171">
        <f>+IFERROR(VLOOKUP(C44,'Nemlig Q4'!$A$2:$J$52,10,FALSE),0)</f>
        <v>0</v>
      </c>
      <c r="N44" s="22" t="str">
        <f>+IFERROR(VLOOKUP(B44,'Hørkram Q4'!$B$6:$G$60,6,FALSE),"0")</f>
        <v>0</v>
      </c>
      <c r="O44" s="116" t="str">
        <f>+IFERROR(VLOOKUP(B44,'Hørkram Q4'!$B$6:$G$60,5,FALSE),"0")</f>
        <v>0</v>
      </c>
      <c r="P44" s="156"/>
      <c r="Q44" s="157"/>
      <c r="R44" s="111">
        <v>45.2</v>
      </c>
      <c r="S44" s="117">
        <v>45.2</v>
      </c>
      <c r="T44" s="118"/>
      <c r="U44" s="105"/>
      <c r="V44" s="30"/>
    </row>
    <row r="45" spans="1:22" x14ac:dyDescent="0.25">
      <c r="A45" s="11" t="s">
        <v>58</v>
      </c>
      <c r="B45" s="36"/>
      <c r="C45" s="221"/>
      <c r="D45" s="221"/>
      <c r="E45" s="221"/>
      <c r="F45" s="221"/>
      <c r="G45" s="36" t="s">
        <v>175</v>
      </c>
      <c r="H45" s="36" t="s">
        <v>119</v>
      </c>
      <c r="I45" s="21" t="str">
        <f>IFERROR(((J45*100)/K45)," ")</f>
        <v xml:space="preserve"> </v>
      </c>
      <c r="J45" s="22">
        <f t="shared" si="12"/>
        <v>0</v>
      </c>
      <c r="K45" s="116">
        <f t="shared" si="13"/>
        <v>0</v>
      </c>
      <c r="L45" s="171">
        <f>+IFERROR(VLOOKUP(C45,'Nemlig Q4'!$A$2:$J$52,6,FALSE),0)</f>
        <v>0</v>
      </c>
      <c r="M45" s="171">
        <f>+IFERROR(VLOOKUP(C45,'Nemlig Q4'!$A$2:$J$52,10,FALSE),0)</f>
        <v>0</v>
      </c>
      <c r="N45" s="22" t="str">
        <f>+IFERROR(VLOOKUP(B45,'Hørkram Q4'!$B$6:$G$60,6,FALSE),"0")</f>
        <v>0</v>
      </c>
      <c r="O45" s="116" t="str">
        <f>+IFERROR(VLOOKUP(B45,'Hørkram Q4'!$B$6:$G$60,5,FALSE),"0")</f>
        <v>0</v>
      </c>
      <c r="P45" s="159"/>
      <c r="Q45" s="160"/>
      <c r="R45" s="101"/>
      <c r="S45" s="110"/>
      <c r="T45" s="118"/>
      <c r="U45" s="105"/>
      <c r="V45" s="30"/>
    </row>
    <row r="46" spans="1:22" ht="17.45" customHeight="1" x14ac:dyDescent="0.25">
      <c r="A46" s="11" t="s">
        <v>15</v>
      </c>
      <c r="B46" s="36">
        <v>200512464</v>
      </c>
      <c r="C46" s="221"/>
      <c r="D46" s="221"/>
      <c r="E46" s="221"/>
      <c r="F46" s="221"/>
      <c r="G46" s="36" t="s">
        <v>174</v>
      </c>
      <c r="H46" s="36" t="s">
        <v>119</v>
      </c>
      <c r="I46" s="21">
        <f t="shared" si="15"/>
        <v>98.985693262726528</v>
      </c>
      <c r="J46" s="22">
        <f t="shared" si="12"/>
        <v>1820.825</v>
      </c>
      <c r="K46" s="116">
        <f t="shared" si="13"/>
        <v>1839.4830000000002</v>
      </c>
      <c r="L46" s="171">
        <f>+IFERROR(VLOOKUP(C46,'Nemlig Q4'!$A$2:$J$52,6,FALSE),0)</f>
        <v>0</v>
      </c>
      <c r="M46" s="171">
        <f>+IFERROR(VLOOKUP(C46,'Nemlig Q4'!$A$2:$J$52,10,FALSE),0)</f>
        <v>0</v>
      </c>
      <c r="N46" s="22">
        <f>+IFERROR(VLOOKUP(B46,'Hørkram Q4'!$B$6:$G$60,6,FALSE),"0")</f>
        <v>1813.925</v>
      </c>
      <c r="O46" s="116">
        <f>+IFERROR(VLOOKUP(B46,'Hørkram Q4'!$B$6:$G$60,5,FALSE),"0")</f>
        <v>1819.0250000000001</v>
      </c>
      <c r="P46" s="158"/>
      <c r="Q46" s="161"/>
      <c r="R46" s="111">
        <v>6.9</v>
      </c>
      <c r="S46" s="115">
        <v>20.457999999999998</v>
      </c>
      <c r="T46" s="118"/>
      <c r="U46" s="105"/>
      <c r="V46" s="31"/>
    </row>
    <row r="47" spans="1:22" ht="15.75" x14ac:dyDescent="0.25">
      <c r="A47" s="11" t="s">
        <v>57</v>
      </c>
      <c r="B47" s="36"/>
      <c r="C47" s="221"/>
      <c r="D47" s="221"/>
      <c r="E47" s="221"/>
      <c r="F47" s="221"/>
      <c r="G47" s="36" t="s">
        <v>175</v>
      </c>
      <c r="H47" s="36" t="s">
        <v>126</v>
      </c>
      <c r="I47" s="21" t="str">
        <f>IFERROR(((J47*100)/K47)," ")</f>
        <v xml:space="preserve"> </v>
      </c>
      <c r="J47" s="22">
        <f t="shared" si="12"/>
        <v>0</v>
      </c>
      <c r="K47" s="116">
        <f t="shared" si="13"/>
        <v>0</v>
      </c>
      <c r="L47" s="171">
        <f>+IFERROR(VLOOKUP(C47,'Nemlig Q4'!$A$2:$J$52,6,FALSE),0)</f>
        <v>0</v>
      </c>
      <c r="M47" s="171">
        <f>+IFERROR(VLOOKUP(C47,'Nemlig Q4'!$A$2:$J$52,10,FALSE),0)</f>
        <v>0</v>
      </c>
      <c r="N47" s="22" t="str">
        <f>+IFERROR(VLOOKUP(B47,'Hørkram Q4'!$B$6:$G$60,6,FALSE),"0")</f>
        <v>0</v>
      </c>
      <c r="O47" s="116" t="str">
        <f>+IFERROR(VLOOKUP(B47,'Hørkram Q4'!$B$6:$G$60,5,FALSE),"0")</f>
        <v>0</v>
      </c>
      <c r="P47" s="156"/>
      <c r="Q47" s="157"/>
      <c r="R47" s="101"/>
      <c r="S47" s="98"/>
      <c r="T47" s="118"/>
      <c r="U47" s="105"/>
      <c r="V47" s="30"/>
    </row>
    <row r="48" spans="1:22" ht="15.75" x14ac:dyDescent="0.25">
      <c r="A48" s="11" t="s">
        <v>112</v>
      </c>
      <c r="B48" s="36" t="s">
        <v>217</v>
      </c>
      <c r="C48" s="221">
        <v>1128479</v>
      </c>
      <c r="D48" s="221"/>
      <c r="E48" s="221"/>
      <c r="F48" s="221"/>
      <c r="G48" s="36" t="s">
        <v>174</v>
      </c>
      <c r="H48" s="36" t="s">
        <v>120</v>
      </c>
      <c r="I48" s="21">
        <f t="shared" si="15"/>
        <v>32.033449902313095</v>
      </c>
      <c r="J48" s="22">
        <f t="shared" si="12"/>
        <v>1023.2730000000001</v>
      </c>
      <c r="K48" s="116">
        <f t="shared" si="13"/>
        <v>3194.3890000000001</v>
      </c>
      <c r="L48" s="171">
        <f>+IFERROR(VLOOKUP(C48,'Nemlig Q4'!$A$2:$J$52,6,FALSE),0)</f>
        <v>197.85400000000001</v>
      </c>
      <c r="M48" s="171">
        <f>+IFERROR(VLOOKUP(C48,'Nemlig Q4'!$A$2:$J$52,10,FALSE),0)</f>
        <v>1267.146</v>
      </c>
      <c r="N48" s="22">
        <f>+'Hørkram Q4'!G31+'Hørkram Q4'!G23</f>
        <v>825.4190000000001</v>
      </c>
      <c r="O48" s="116">
        <f>+'Hørkram Q4'!F31+'Hørkram Q4'!F23</f>
        <v>1927.2429999999999</v>
      </c>
      <c r="P48" s="156"/>
      <c r="Q48" s="157"/>
      <c r="R48" s="111"/>
      <c r="S48" s="109"/>
      <c r="T48" s="121"/>
      <c r="U48" s="127"/>
      <c r="V48" s="30"/>
    </row>
    <row r="49" spans="1:24" ht="15.75" x14ac:dyDescent="0.25">
      <c r="A49" s="11" t="s">
        <v>182</v>
      </c>
      <c r="B49" s="36"/>
      <c r="C49" s="221"/>
      <c r="D49" s="221"/>
      <c r="E49" s="221"/>
      <c r="F49" s="221"/>
      <c r="G49" s="36" t="s">
        <v>175</v>
      </c>
      <c r="H49" s="36" t="s">
        <v>120</v>
      </c>
      <c r="I49" s="21">
        <f t="shared" si="15"/>
        <v>100</v>
      </c>
      <c r="J49" s="22">
        <f t="shared" si="12"/>
        <v>10</v>
      </c>
      <c r="K49" s="116">
        <f t="shared" si="13"/>
        <v>10</v>
      </c>
      <c r="L49" s="171">
        <f>+IFERROR(VLOOKUP(C49,'Nemlig Q4'!$A$2:$J$52,6,FALSE),0)</f>
        <v>0</v>
      </c>
      <c r="M49" s="171">
        <f>+IFERROR(VLOOKUP(C49,'Nemlig Q4'!$A$2:$J$52,10,FALSE),0)</f>
        <v>0</v>
      </c>
      <c r="N49" s="22" t="str">
        <f>+IFERROR(VLOOKUP(B49,'Hørkram Q4'!$B$6:$G$60,6,FALSE),"0")</f>
        <v>0</v>
      </c>
      <c r="O49" s="116" t="str">
        <f>+IFERROR(VLOOKUP(B49,'Hørkram Q4'!$B$6:$G$60,5,FALSE),"0")</f>
        <v>0</v>
      </c>
      <c r="P49" s="147"/>
      <c r="Q49" s="148"/>
      <c r="R49" s="111">
        <v>10</v>
      </c>
      <c r="S49" s="109">
        <v>10</v>
      </c>
      <c r="T49" s="118"/>
      <c r="U49" s="105"/>
      <c r="V49" s="30"/>
    </row>
    <row r="50" spans="1:24" ht="15.75" x14ac:dyDescent="0.25">
      <c r="A50" s="11" t="s">
        <v>82</v>
      </c>
      <c r="B50" s="36"/>
      <c r="C50" s="221"/>
      <c r="D50" s="221"/>
      <c r="E50" s="221"/>
      <c r="F50" s="221"/>
      <c r="G50" s="36" t="s">
        <v>175</v>
      </c>
      <c r="H50" s="36" t="s">
        <v>120</v>
      </c>
      <c r="I50" s="21" t="str">
        <f>IFERROR(((J50*100)/K50)," ")</f>
        <v xml:space="preserve"> </v>
      </c>
      <c r="J50" s="22">
        <f t="shared" si="12"/>
        <v>0</v>
      </c>
      <c r="K50" s="116">
        <f t="shared" si="13"/>
        <v>0</v>
      </c>
      <c r="L50" s="171">
        <f>+IFERROR(VLOOKUP(C50,'Nemlig Q4'!$A$2:$J$52,6,FALSE),0)</f>
        <v>0</v>
      </c>
      <c r="M50" s="171">
        <f>+IFERROR(VLOOKUP(C50,'Nemlig Q4'!$A$2:$J$52,10,FALSE),0)</f>
        <v>0</v>
      </c>
      <c r="N50" s="22" t="str">
        <f>+IFERROR(VLOOKUP(B50,'Hørkram Q4'!$B$6:$G$60,6,FALSE),"0")</f>
        <v>0</v>
      </c>
      <c r="O50" s="116" t="str">
        <f>+IFERROR(VLOOKUP(B50,'Hørkram Q4'!$B$6:$G$60,5,FALSE),"0")</f>
        <v>0</v>
      </c>
      <c r="P50" s="156"/>
      <c r="Q50" s="157"/>
      <c r="R50" s="111"/>
      <c r="S50" s="109"/>
      <c r="T50" s="118"/>
      <c r="U50" s="105"/>
      <c r="V50" s="30"/>
    </row>
    <row r="51" spans="1:24" ht="15.75" x14ac:dyDescent="0.25">
      <c r="A51" s="11" t="s">
        <v>25</v>
      </c>
      <c r="B51" s="36"/>
      <c r="C51" s="221"/>
      <c r="D51" s="221"/>
      <c r="E51" s="221"/>
      <c r="F51" s="221"/>
      <c r="G51" s="36" t="s">
        <v>175</v>
      </c>
      <c r="H51" s="36" t="s">
        <v>126</v>
      </c>
      <c r="I51" s="21">
        <f t="shared" si="15"/>
        <v>100</v>
      </c>
      <c r="J51" s="22">
        <f t="shared" si="12"/>
        <v>53.76</v>
      </c>
      <c r="K51" s="116">
        <f t="shared" si="13"/>
        <v>53.76</v>
      </c>
      <c r="L51" s="171">
        <f>+IFERROR(VLOOKUP(C51,'Nemlig Q4'!$A$2:$J$52,6,FALSE),0)</f>
        <v>0</v>
      </c>
      <c r="M51" s="171">
        <f>+IFERROR(VLOOKUP(C51,'Nemlig Q4'!$A$2:$J$52,10,FALSE),0)</f>
        <v>0</v>
      </c>
      <c r="N51" s="22" t="str">
        <f>+IFERROR(VLOOKUP(B51,'Hørkram Q4'!$B$6:$G$60,6,FALSE),"0")</f>
        <v>0</v>
      </c>
      <c r="O51" s="116" t="str">
        <f>+IFERROR(VLOOKUP(B51,'Hørkram Q4'!$B$6:$G$60,5,FALSE),"0")</f>
        <v>0</v>
      </c>
      <c r="P51" s="147"/>
      <c r="Q51" s="148"/>
      <c r="R51" s="111">
        <v>53.76</v>
      </c>
      <c r="S51" s="109">
        <v>53.76</v>
      </c>
      <c r="T51" s="118"/>
      <c r="U51" s="105"/>
      <c r="V51" s="30"/>
    </row>
    <row r="52" spans="1:24" ht="15.75" x14ac:dyDescent="0.25">
      <c r="A52" s="11" t="s">
        <v>74</v>
      </c>
      <c r="B52" s="36"/>
      <c r="C52" s="221">
        <v>1111606</v>
      </c>
      <c r="D52" s="221">
        <v>1145780</v>
      </c>
      <c r="E52" s="221"/>
      <c r="F52" s="221"/>
      <c r="G52" s="36" t="s">
        <v>175</v>
      </c>
      <c r="H52" s="36" t="s">
        <v>123</v>
      </c>
      <c r="I52" s="21">
        <f t="shared" si="15"/>
        <v>29.14812559398457</v>
      </c>
      <c r="J52" s="22">
        <f t="shared" si="12"/>
        <v>177.58</v>
      </c>
      <c r="K52" s="116">
        <f t="shared" si="13"/>
        <v>609.23299999999995</v>
      </c>
      <c r="L52" s="171">
        <f>+IFERROR(VLOOKUP(C52,'Nemlig Q4'!$A$2:$J$52,6,FALSE),0)+'Nemlig Q4'!F13</f>
        <v>177.58</v>
      </c>
      <c r="M52" s="171">
        <f>+'Nemlig Q4'!J9+'Nemlig Q4'!J13</f>
        <v>609.23299999999995</v>
      </c>
      <c r="N52" s="22" t="str">
        <f>+IFERROR(VLOOKUP(B52,'Hørkram Q4'!$B$6:$G$60,6,FALSE),"0")</f>
        <v>0</v>
      </c>
      <c r="O52" s="116" t="str">
        <f>+IFERROR(VLOOKUP(B52,'Hørkram Q4'!$B$6:$G$60,5,FALSE),"0")</f>
        <v>0</v>
      </c>
      <c r="P52" s="158"/>
      <c r="Q52" s="157"/>
      <c r="R52" s="101"/>
      <c r="S52" s="110"/>
      <c r="T52" s="118"/>
      <c r="U52" s="105"/>
      <c r="V52" s="30"/>
      <c r="W52" s="5"/>
      <c r="X52" s="5"/>
    </row>
    <row r="53" spans="1:24" ht="15.75" x14ac:dyDescent="0.25">
      <c r="A53" s="11" t="s">
        <v>105</v>
      </c>
      <c r="B53" s="36"/>
      <c r="C53" s="221"/>
      <c r="D53" s="221"/>
      <c r="E53" s="221"/>
      <c r="F53" s="221"/>
      <c r="G53" s="36" t="s">
        <v>175</v>
      </c>
      <c r="H53" s="36" t="s">
        <v>121</v>
      </c>
      <c r="I53" s="21" t="str">
        <f>IFERROR(((J53*100)/K53)," ")</f>
        <v xml:space="preserve"> </v>
      </c>
      <c r="J53" s="22">
        <f t="shared" si="12"/>
        <v>0</v>
      </c>
      <c r="K53" s="116">
        <f t="shared" si="13"/>
        <v>0</v>
      </c>
      <c r="L53" s="171">
        <f>+IFERROR(VLOOKUP(C53,'Nemlig Q4'!$A$2:$J$52,6,FALSE),0)</f>
        <v>0</v>
      </c>
      <c r="M53" s="171">
        <f>+IFERROR(VLOOKUP(C53,'Nemlig Q4'!$A$2:$J$52,10,FALSE),0)</f>
        <v>0</v>
      </c>
      <c r="N53" s="22" t="str">
        <f>+IFERROR(VLOOKUP(B53,'Hørkram Q4'!$B$6:$G$60,6,FALSE),"0")</f>
        <v>0</v>
      </c>
      <c r="O53" s="116" t="str">
        <f>+IFERROR(VLOOKUP(B53,'Hørkram Q4'!$B$6:$G$60,5,FALSE),"0")</f>
        <v>0</v>
      </c>
      <c r="P53" s="156"/>
      <c r="Q53" s="157"/>
      <c r="R53" s="111"/>
      <c r="S53" s="109"/>
      <c r="T53" s="118"/>
      <c r="U53" s="105"/>
      <c r="V53" s="32"/>
    </row>
    <row r="54" spans="1:24" ht="15.75" x14ac:dyDescent="0.25">
      <c r="A54" s="11" t="s">
        <v>52</v>
      </c>
      <c r="B54" s="36"/>
      <c r="C54" s="221">
        <v>2296749</v>
      </c>
      <c r="D54" s="221">
        <v>2296585</v>
      </c>
      <c r="E54" s="221"/>
      <c r="F54" s="221"/>
      <c r="G54" s="36" t="s">
        <v>175</v>
      </c>
      <c r="H54" s="36" t="s">
        <v>126</v>
      </c>
      <c r="I54" s="21">
        <f t="shared" si="15"/>
        <v>100</v>
      </c>
      <c r="J54" s="22">
        <f t="shared" si="12"/>
        <v>245.238</v>
      </c>
      <c r="K54" s="116">
        <f t="shared" si="13"/>
        <v>245.238</v>
      </c>
      <c r="L54" s="171">
        <f>+IFERROR(VLOOKUP(C54,'Nemlig Q4'!$A$2:$J$52,6,FALSE),0)</f>
        <v>0</v>
      </c>
      <c r="M54" s="171">
        <f>+IFERROR(VLOOKUP(C54,'Nemlig Q4'!$A$2:$J$52,10,FALSE),0)</f>
        <v>0</v>
      </c>
      <c r="N54" s="22" t="str">
        <f>+IFERROR(VLOOKUP(B54,'Hørkram Q4'!$B$6:$G$60,6,FALSE),"0")</f>
        <v>0</v>
      </c>
      <c r="O54" s="116" t="str">
        <f>+IFERROR(VLOOKUP(B54,'Hørkram Q4'!$B$6:$G$60,5,FALSE),"0")</f>
        <v>0</v>
      </c>
      <c r="P54" s="156"/>
      <c r="Q54" s="157"/>
      <c r="R54" s="111">
        <v>245.238</v>
      </c>
      <c r="S54" s="115">
        <v>245.238</v>
      </c>
      <c r="T54" s="118"/>
      <c r="U54" s="105"/>
      <c r="V54" s="30"/>
    </row>
    <row r="55" spans="1:24" ht="15.75" x14ac:dyDescent="0.25">
      <c r="A55" s="11" t="s">
        <v>68</v>
      </c>
      <c r="B55" s="36"/>
      <c r="C55" s="221">
        <v>1613945</v>
      </c>
      <c r="D55" s="221"/>
      <c r="E55" s="221"/>
      <c r="F55" s="221"/>
      <c r="G55" s="36" t="s">
        <v>174</v>
      </c>
      <c r="H55" s="36" t="s">
        <v>119</v>
      </c>
      <c r="I55" s="21">
        <f t="shared" si="15"/>
        <v>60.476016846599762</v>
      </c>
      <c r="J55" s="22">
        <f t="shared" si="12"/>
        <v>114.443</v>
      </c>
      <c r="K55" s="116">
        <f t="shared" si="13"/>
        <v>189.23699999999999</v>
      </c>
      <c r="L55" s="171">
        <f>+IFERROR(VLOOKUP(C55,'Nemlig Q4'!$A$2:$J$52,6,FALSE),0)</f>
        <v>114.443</v>
      </c>
      <c r="M55" s="171">
        <f>+IFERROR(VLOOKUP(C55,'Nemlig Q4'!$A$2:$J$52,10,FALSE),0)</f>
        <v>189.23699999999999</v>
      </c>
      <c r="N55" s="22" t="str">
        <f>+IFERROR(VLOOKUP(B55,'Hørkram Q4'!$B$6:$G$60,6,FALSE),"0")</f>
        <v>0</v>
      </c>
      <c r="O55" s="116" t="str">
        <f>+IFERROR(VLOOKUP(B55,'Hørkram Q4'!$B$6:$G$60,5,FALSE),"0")</f>
        <v>0</v>
      </c>
      <c r="P55" s="156"/>
      <c r="Q55" s="157"/>
      <c r="R55" s="101"/>
      <c r="S55" s="110"/>
      <c r="T55" s="118"/>
      <c r="U55" s="105"/>
      <c r="V55" s="30"/>
    </row>
    <row r="56" spans="1:24" ht="15.75" x14ac:dyDescent="0.25">
      <c r="A56" s="11" t="s">
        <v>85</v>
      </c>
      <c r="B56" s="36"/>
      <c r="C56" s="221">
        <v>2155984</v>
      </c>
      <c r="D56" s="221">
        <v>1387175</v>
      </c>
      <c r="E56" s="221">
        <v>2154841</v>
      </c>
      <c r="F56" s="221">
        <v>2329044</v>
      </c>
      <c r="G56" s="36" t="s">
        <v>175</v>
      </c>
      <c r="H56" s="36" t="s">
        <v>126</v>
      </c>
      <c r="I56" s="21">
        <f t="shared" si="15"/>
        <v>52.610550186275034</v>
      </c>
      <c r="J56" s="22">
        <f t="shared" si="12"/>
        <v>19.488</v>
      </c>
      <c r="K56" s="116">
        <f t="shared" si="13"/>
        <v>37.042000000000002</v>
      </c>
      <c r="L56" s="171">
        <f>+'Nemlig Q4'!F51</f>
        <v>4.9800000000000004</v>
      </c>
      <c r="M56" s="171">
        <f>+IFERROR(VLOOKUP(C56,'Nemlig Q4'!$A$2:$J$52,10,FALSE),0)+'Nemlig Q4'!J51</f>
        <v>22.533999999999999</v>
      </c>
      <c r="N56" s="22" t="str">
        <f>+IFERROR(VLOOKUP(B56,'Hørkram Q4'!$B$6:$G$60,6,FALSE),"0")</f>
        <v>0</v>
      </c>
      <c r="O56" s="116" t="str">
        <f>+IFERROR(VLOOKUP(B56,'Hørkram Q4'!$B$6:$G$60,5,FALSE),"0")</f>
        <v>0</v>
      </c>
      <c r="P56" s="147"/>
      <c r="Q56" s="148"/>
      <c r="R56" s="111">
        <v>14.507999999999999</v>
      </c>
      <c r="S56" s="109">
        <v>14.507999999999999</v>
      </c>
      <c r="T56" s="118"/>
      <c r="U56" s="105"/>
      <c r="V56" s="30"/>
    </row>
    <row r="57" spans="1:24" ht="15.75" x14ac:dyDescent="0.25">
      <c r="A57" s="11" t="s">
        <v>8</v>
      </c>
      <c r="B57" s="36">
        <v>200049625</v>
      </c>
      <c r="C57" s="221"/>
      <c r="D57" s="221"/>
      <c r="E57" s="221"/>
      <c r="F57" s="221"/>
      <c r="G57" s="36" t="s">
        <v>174</v>
      </c>
      <c r="H57" s="36" t="s">
        <v>119</v>
      </c>
      <c r="I57" s="21">
        <f t="shared" si="15"/>
        <v>97.746583010401949</v>
      </c>
      <c r="J57" s="22">
        <f t="shared" si="12"/>
        <v>1869.3340000000001</v>
      </c>
      <c r="K57" s="116">
        <f t="shared" si="13"/>
        <v>1912.4290000000001</v>
      </c>
      <c r="L57" s="171">
        <f>+IFERROR(VLOOKUP(C57,'Nemlig Q4'!$A$2:$J$52,6,FALSE),0)</f>
        <v>0</v>
      </c>
      <c r="M57" s="171">
        <f>+IFERROR(VLOOKUP(C57,'Nemlig Q4'!$A$2:$J$52,10,FALSE),0)</f>
        <v>0</v>
      </c>
      <c r="N57" s="22">
        <f>+IFERROR(VLOOKUP(B57,'Hørkram Q4'!$B$6:$G$60,6,FALSE),"0")</f>
        <v>1869.3340000000001</v>
      </c>
      <c r="O57" s="116">
        <f>+IFERROR(VLOOKUP(B57,'Hørkram Q4'!$B$6:$G$60,5,FALSE),"0")</f>
        <v>1912.4290000000001</v>
      </c>
      <c r="P57" s="156"/>
      <c r="Q57" s="157"/>
      <c r="R57" s="111"/>
      <c r="S57" s="109"/>
      <c r="T57" s="118"/>
      <c r="U57" s="105"/>
      <c r="V57" s="30"/>
    </row>
    <row r="58" spans="1:24" ht="15.75" x14ac:dyDescent="0.25">
      <c r="A58" s="11" t="s">
        <v>111</v>
      </c>
      <c r="B58" s="36"/>
      <c r="C58" s="221">
        <v>2312561</v>
      </c>
      <c r="D58" s="221"/>
      <c r="E58" s="221"/>
      <c r="F58" s="221"/>
      <c r="G58" s="36" t="s">
        <v>175</v>
      </c>
      <c r="H58" s="36" t="s">
        <v>126</v>
      </c>
      <c r="I58" s="21">
        <f t="shared" si="15"/>
        <v>21.561194988756824</v>
      </c>
      <c r="J58" s="22">
        <f t="shared" si="12"/>
        <v>33.56</v>
      </c>
      <c r="K58" s="116">
        <f t="shared" si="13"/>
        <v>155.65</v>
      </c>
      <c r="L58" s="171">
        <f>+IFERROR(VLOOKUP(C58,'Nemlig Q4'!$A$2:$J$52,6,FALSE),0)</f>
        <v>0.6</v>
      </c>
      <c r="M58" s="171">
        <f>+IFERROR(VLOOKUP(C58,'Nemlig Q4'!$A$2:$J$52,10,FALSE),0)</f>
        <v>15.52</v>
      </c>
      <c r="N58" s="22" t="str">
        <f>+IFERROR(VLOOKUP(B58,'Hørkram Q4'!$B$6:$G$60,6,FALSE),"0")</f>
        <v>0</v>
      </c>
      <c r="O58" s="116" t="str">
        <f>+IFERROR(VLOOKUP(B58,'Hørkram Q4'!$B$6:$G$60,5,FALSE),"0")</f>
        <v>0</v>
      </c>
      <c r="P58" s="156"/>
      <c r="Q58" s="157"/>
      <c r="R58" s="101">
        <v>32.96</v>
      </c>
      <c r="S58" s="98">
        <v>140.13</v>
      </c>
      <c r="T58" s="118"/>
      <c r="U58" s="105"/>
      <c r="V58" s="30"/>
    </row>
    <row r="59" spans="1:24" ht="15.75" x14ac:dyDescent="0.25">
      <c r="A59" s="11" t="s">
        <v>30</v>
      </c>
      <c r="B59" s="36"/>
      <c r="C59" s="221">
        <v>2242256</v>
      </c>
      <c r="D59" s="221"/>
      <c r="E59" s="221"/>
      <c r="F59" s="221"/>
      <c r="G59" s="36" t="s">
        <v>175</v>
      </c>
      <c r="H59" s="36" t="s">
        <v>121</v>
      </c>
      <c r="I59" s="21">
        <f>IFERROR(((J59*100)/K59)," ")</f>
        <v>22.884707853143269</v>
      </c>
      <c r="J59" s="22">
        <f t="shared" si="12"/>
        <v>14.754</v>
      </c>
      <c r="K59" s="116">
        <f t="shared" si="13"/>
        <v>64.471000000000004</v>
      </c>
      <c r="L59" s="171">
        <f>+IFERROR(VLOOKUP(C59,'Nemlig Q4'!$A$2:$J$52,6,FALSE),0)</f>
        <v>14.754</v>
      </c>
      <c r="M59" s="171">
        <f>+IFERROR(VLOOKUP(C59,'Nemlig Q4'!$A$2:$J$52,10,FALSE),0)</f>
        <v>64.471000000000004</v>
      </c>
      <c r="N59" s="22" t="str">
        <f>+IFERROR(VLOOKUP(B59,'Hørkram Q4'!$B$6:$G$60,6,FALSE),"0")</f>
        <v>0</v>
      </c>
      <c r="O59" s="116" t="str">
        <f>+IFERROR(VLOOKUP(B59,'Hørkram Q4'!$B$6:$G$60,5,FALSE),"0")</f>
        <v>0</v>
      </c>
      <c r="P59" s="156"/>
      <c r="Q59" s="157"/>
      <c r="R59" s="101"/>
      <c r="S59" s="98"/>
      <c r="T59" s="118"/>
      <c r="U59" s="105"/>
      <c r="V59" s="30"/>
    </row>
    <row r="60" spans="1:24" ht="15.75" x14ac:dyDescent="0.25">
      <c r="A60" s="11" t="s">
        <v>210</v>
      </c>
      <c r="B60" s="36">
        <v>200042435</v>
      </c>
      <c r="C60" s="221"/>
      <c r="D60" s="221"/>
      <c r="E60" s="221"/>
      <c r="F60" s="221"/>
      <c r="G60" s="36" t="s">
        <v>174</v>
      </c>
      <c r="H60" s="36" t="s">
        <v>122</v>
      </c>
      <c r="I60" s="21">
        <f t="shared" si="15"/>
        <v>24.3794335789391</v>
      </c>
      <c r="J60" s="22">
        <f t="shared" si="12"/>
        <v>611.15899999999999</v>
      </c>
      <c r="K60" s="116">
        <f t="shared" si="13"/>
        <v>2506.8629999999998</v>
      </c>
      <c r="L60" s="171">
        <f>+IFERROR(VLOOKUP(C60,'Nemlig Q4'!$A$2:$J$52,6,FALSE),0)</f>
        <v>0</v>
      </c>
      <c r="M60" s="171">
        <f>+IFERROR(VLOOKUP(C60,'Nemlig Q4'!$A$2:$J$52,10,FALSE),0)</f>
        <v>0</v>
      </c>
      <c r="N60" s="22">
        <f>+IFERROR(VLOOKUP(B60,'Hørkram Q4'!$B$6:$G$60,6,FALSE),"0")</f>
        <v>611.15899999999999</v>
      </c>
      <c r="O60" s="116">
        <f>+IFERROR(VLOOKUP(B60,'Hørkram Q4'!$B$6:$G$60,5,FALSE),"0")</f>
        <v>2506.8629999999998</v>
      </c>
      <c r="P60" s="147"/>
      <c r="Q60" s="148"/>
      <c r="R60" s="111"/>
      <c r="S60" s="109"/>
      <c r="T60" s="118"/>
      <c r="U60" s="105"/>
      <c r="V60" s="30"/>
    </row>
    <row r="61" spans="1:24" ht="15.75" x14ac:dyDescent="0.25">
      <c r="A61" s="11" t="s">
        <v>88</v>
      </c>
      <c r="B61" s="36"/>
      <c r="C61" s="221">
        <v>2162988</v>
      </c>
      <c r="D61" s="221"/>
      <c r="E61" s="221"/>
      <c r="F61" s="221"/>
      <c r="G61" s="36" t="s">
        <v>175</v>
      </c>
      <c r="H61" s="36" t="s">
        <v>123</v>
      </c>
      <c r="I61" s="21">
        <f t="shared" si="15"/>
        <v>34.171090205147074</v>
      </c>
      <c r="J61" s="22">
        <f t="shared" si="12"/>
        <v>195.05199999999999</v>
      </c>
      <c r="K61" s="116">
        <f t="shared" si="13"/>
        <v>570.80999999999995</v>
      </c>
      <c r="L61" s="171">
        <f>+IFERROR(VLOOKUP(C61,'Nemlig Q4'!$A$2:$J$52,6,FALSE),0)</f>
        <v>195.05199999999999</v>
      </c>
      <c r="M61" s="171">
        <f>+IFERROR(VLOOKUP(C61,'Nemlig Q4'!$A$2:$J$52,10,FALSE),0)</f>
        <v>570.80999999999995</v>
      </c>
      <c r="N61" s="22" t="str">
        <f>+IFERROR(VLOOKUP(B61,'Hørkram Q4'!$B$6:$G$60,6,FALSE),"0")</f>
        <v>0</v>
      </c>
      <c r="O61" s="116" t="str">
        <f>+IFERROR(VLOOKUP(B61,'Hørkram Q4'!$B$6:$G$60,5,FALSE),"0")</f>
        <v>0</v>
      </c>
      <c r="P61" s="156"/>
      <c r="Q61" s="157"/>
      <c r="R61" s="101"/>
      <c r="S61" s="110"/>
      <c r="T61" s="118"/>
      <c r="U61" s="105"/>
      <c r="V61" s="30"/>
    </row>
    <row r="62" spans="1:24" x14ac:dyDescent="0.25">
      <c r="A62" s="11" t="s">
        <v>114</v>
      </c>
      <c r="B62" s="36">
        <v>200044538</v>
      </c>
      <c r="C62" s="221"/>
      <c r="D62" s="221"/>
      <c r="E62" s="221"/>
      <c r="F62" s="221"/>
      <c r="G62" s="36" t="s">
        <v>175</v>
      </c>
      <c r="H62" s="36" t="s">
        <v>120</v>
      </c>
      <c r="I62" s="21">
        <f t="shared" si="15"/>
        <v>58.675881405205608</v>
      </c>
      <c r="J62" s="22">
        <f t="shared" si="12"/>
        <v>465.43</v>
      </c>
      <c r="K62" s="116">
        <f t="shared" si="13"/>
        <v>793.22199999999998</v>
      </c>
      <c r="L62" s="171">
        <f>+IFERROR(VLOOKUP(C62,'Nemlig Q4'!$A$2:$J$52,6,FALSE),0)</f>
        <v>0</v>
      </c>
      <c r="M62" s="171">
        <f>+IFERROR(VLOOKUP(C62,'Nemlig Q4'!$A$2:$J$52,10,FALSE),0)</f>
        <v>0</v>
      </c>
      <c r="N62" s="22">
        <f>+IFERROR(VLOOKUP(B62,'Hørkram Q4'!$B$6:$G$60,6,FALSE),"0")</f>
        <v>465.43</v>
      </c>
      <c r="O62" s="116">
        <f>+IFERROR(VLOOKUP(B62,'Hørkram Q4'!$B$6:$G$60,5,FALSE),"0")</f>
        <v>793.22199999999998</v>
      </c>
      <c r="P62" s="147"/>
      <c r="Q62" s="148"/>
      <c r="R62" s="101"/>
      <c r="S62" s="110"/>
      <c r="T62" s="118"/>
      <c r="U62" s="105"/>
      <c r="V62" s="30"/>
    </row>
    <row r="63" spans="1:24" ht="15.75" x14ac:dyDescent="0.25">
      <c r="A63" s="11" t="s">
        <v>115</v>
      </c>
      <c r="B63" s="36">
        <v>200043647</v>
      </c>
      <c r="C63" s="221"/>
      <c r="D63" s="221"/>
      <c r="E63" s="221"/>
      <c r="F63" s="221"/>
      <c r="G63" s="36" t="s">
        <v>175</v>
      </c>
      <c r="H63" s="36" t="s">
        <v>120</v>
      </c>
      <c r="I63" s="21">
        <f t="shared" si="15"/>
        <v>11.5126953125</v>
      </c>
      <c r="J63" s="22">
        <f t="shared" si="12"/>
        <v>82.522999999999996</v>
      </c>
      <c r="K63" s="116">
        <f t="shared" si="13"/>
        <v>716.8</v>
      </c>
      <c r="L63" s="171">
        <f>+IFERROR(VLOOKUP(C63,'Nemlig Q4'!$A$2:$J$52,6,FALSE),0)</f>
        <v>0</v>
      </c>
      <c r="M63" s="171">
        <f>+IFERROR(VLOOKUP(C63,'Nemlig Q4'!$A$2:$J$52,10,FALSE),0)</f>
        <v>0</v>
      </c>
      <c r="N63" s="22">
        <f>+IFERROR(VLOOKUP(B63,'Hørkram Q4'!$B$6:$G$60,6,FALSE),"0")</f>
        <v>82.522999999999996</v>
      </c>
      <c r="O63" s="116">
        <f>+IFERROR(VLOOKUP(B63,'Hørkram Q4'!$B$6:$G$60,5,FALSE),"0")</f>
        <v>716.8</v>
      </c>
      <c r="P63" s="156"/>
      <c r="Q63" s="157"/>
      <c r="R63" s="101"/>
      <c r="S63" s="98"/>
      <c r="T63" s="118"/>
      <c r="U63" s="105"/>
      <c r="V63" s="30"/>
    </row>
    <row r="64" spans="1:24" x14ac:dyDescent="0.25">
      <c r="A64" s="11" t="s">
        <v>47</v>
      </c>
      <c r="B64" s="36">
        <v>200140674</v>
      </c>
      <c r="C64" s="221">
        <v>2222649</v>
      </c>
      <c r="D64" s="221"/>
      <c r="E64" s="221"/>
      <c r="F64" s="221"/>
      <c r="G64" s="36" t="s">
        <v>175</v>
      </c>
      <c r="H64" s="36" t="s">
        <v>120</v>
      </c>
      <c r="I64" s="21">
        <f>IFERROR(((J64*100)/K64),"")</f>
        <v>12.807363824958051</v>
      </c>
      <c r="J64" s="22">
        <f t="shared" si="12"/>
        <v>81.367999999999995</v>
      </c>
      <c r="K64" s="116">
        <f t="shared" si="13"/>
        <v>635.322</v>
      </c>
      <c r="L64" s="171">
        <f>+IFERROR(VLOOKUP(C64,'Nemlig Q4'!$A$2:$J$52,6,FALSE),0)</f>
        <v>81.367999999999995</v>
      </c>
      <c r="M64" s="171">
        <f>+IFERROR(VLOOKUP(C64,'Nemlig Q4'!$A$2:$J$52,10,FALSE),0)</f>
        <v>635.322</v>
      </c>
      <c r="N64" s="22" t="str">
        <f>+IFERROR(VLOOKUP(B64,'Hørkram Q4'!$B$6:$G$60,6,FALSE),"0")</f>
        <v>0</v>
      </c>
      <c r="O64" s="116" t="str">
        <f>+IFERROR(VLOOKUP(B64,'Hørkram Q4'!$B$6:$G$60,5,FALSE),"0")</f>
        <v>0</v>
      </c>
      <c r="P64" s="147"/>
      <c r="Q64" s="148"/>
      <c r="R64" s="101"/>
      <c r="S64" s="98"/>
      <c r="T64" s="118"/>
      <c r="U64" s="105"/>
      <c r="V64" s="30"/>
    </row>
    <row r="65" spans="1:24" ht="15.75" x14ac:dyDescent="0.25">
      <c r="A65" s="11" t="s">
        <v>116</v>
      </c>
      <c r="B65" s="36">
        <v>200055084</v>
      </c>
      <c r="C65" s="221">
        <v>1346990</v>
      </c>
      <c r="D65" s="221">
        <v>2162953</v>
      </c>
      <c r="E65" s="221"/>
      <c r="F65" s="221"/>
      <c r="G65" s="36" t="s">
        <v>174</v>
      </c>
      <c r="H65" s="36" t="s">
        <v>120</v>
      </c>
      <c r="I65" s="21">
        <f t="shared" si="15"/>
        <v>78.425097598688581</v>
      </c>
      <c r="J65" s="22">
        <f t="shared" si="12"/>
        <v>480.32000000000005</v>
      </c>
      <c r="K65" s="116">
        <f t="shared" si="13"/>
        <v>612.45699999999999</v>
      </c>
      <c r="L65" s="171">
        <f>+IFERROR(VLOOKUP(C65,'Nemlig Q4'!$A$2:$J$52,6,FALSE),0)+'Nemlig Q4'!F32</f>
        <v>30.545999999999999</v>
      </c>
      <c r="M65" s="171">
        <f>+IFERROR(VLOOKUP(C65,'Nemlig Q4'!$A$2:$J$52,10,FALSE),0)+'Nemlig Q4'!J32</f>
        <v>81.603999999999999</v>
      </c>
      <c r="N65" s="22">
        <f>+IFERROR(VLOOKUP(B65,'Hørkram Q4'!$B$6:$G$60,6,FALSE),"0")</f>
        <v>403.93400000000003</v>
      </c>
      <c r="O65" s="116">
        <f>+IFERROR(VLOOKUP(B65,'Hørkram Q4'!$B$6:$G$60,5,FALSE),"0")</f>
        <v>485.01299999999998</v>
      </c>
      <c r="P65" s="147"/>
      <c r="Q65" s="148"/>
      <c r="R65" s="111">
        <v>45.84</v>
      </c>
      <c r="S65" s="115">
        <v>45.84</v>
      </c>
      <c r="T65" s="118"/>
      <c r="U65" s="105"/>
      <c r="V65" s="30"/>
    </row>
    <row r="66" spans="1:24" ht="15.75" x14ac:dyDescent="0.25">
      <c r="A66" s="11" t="s">
        <v>179</v>
      </c>
      <c r="B66" s="36">
        <v>200182711</v>
      </c>
      <c r="C66" s="221"/>
      <c r="D66" s="221"/>
      <c r="E66" s="221"/>
      <c r="F66" s="221"/>
      <c r="G66" s="36" t="s">
        <v>175</v>
      </c>
      <c r="H66" s="36" t="s">
        <v>126</v>
      </c>
      <c r="I66" s="21">
        <f t="shared" si="15"/>
        <v>45.810384471418637</v>
      </c>
      <c r="J66" s="22">
        <f t="shared" si="12"/>
        <v>25.701000000000001</v>
      </c>
      <c r="K66" s="116">
        <f t="shared" si="13"/>
        <v>56.103000000000002</v>
      </c>
      <c r="L66" s="171">
        <f>+IFERROR(VLOOKUP(C66,'Nemlig Q4'!$A$2:$J$52,6,FALSE),0)</f>
        <v>0</v>
      </c>
      <c r="M66" s="171">
        <f>+IFERROR(VLOOKUP(C66,'Nemlig Q4'!$A$2:$J$52,10,FALSE),0)</f>
        <v>0</v>
      </c>
      <c r="N66" s="22">
        <f>+IFERROR(VLOOKUP(B66,'Hørkram Q4'!$B$6:$G$60,6,FALSE),"0")</f>
        <v>25.701000000000001</v>
      </c>
      <c r="O66" s="116">
        <f>+IFERROR(VLOOKUP(B66,'Hørkram Q4'!$B$6:$G$60,5,FALSE),"0")</f>
        <v>56.103000000000002</v>
      </c>
      <c r="P66" s="147"/>
      <c r="Q66" s="148"/>
      <c r="R66" s="151"/>
      <c r="S66" s="115"/>
      <c r="T66" s="118"/>
      <c r="U66" s="105"/>
      <c r="V66" s="30"/>
    </row>
    <row r="67" spans="1:24" ht="15.75" x14ac:dyDescent="0.25">
      <c r="A67" s="11" t="s">
        <v>22</v>
      </c>
      <c r="B67" s="36">
        <v>200652832</v>
      </c>
      <c r="C67" s="221"/>
      <c r="D67" s="221"/>
      <c r="E67" s="221"/>
      <c r="F67" s="221"/>
      <c r="G67" s="36" t="s">
        <v>174</v>
      </c>
      <c r="H67" s="36" t="s">
        <v>124</v>
      </c>
      <c r="I67" s="21">
        <f t="shared" ref="I67:I97" si="16">(J67*100)/K67</f>
        <v>59.955198753903886</v>
      </c>
      <c r="J67" s="22">
        <f t="shared" ref="J67:J97" si="17">+L67+N67+P67+R67+T67</f>
        <v>1219.412</v>
      </c>
      <c r="K67" s="116">
        <f t="shared" ref="K67:K97" si="18">+M67+O67+Q67+S67+U67</f>
        <v>2033.8719999999998</v>
      </c>
      <c r="L67" s="171">
        <f>+IFERROR(VLOOKUP(C67,'Nemlig Q4'!$A$2:$J$52,6,FALSE),0)</f>
        <v>0</v>
      </c>
      <c r="M67" s="171">
        <f>+IFERROR(VLOOKUP(C67,'Nemlig Q4'!$A$2:$J$52,10,FALSE),0)</f>
        <v>0</v>
      </c>
      <c r="N67" s="22">
        <f>+IFERROR(VLOOKUP(B67,'Hørkram Q4'!$B$6:$G$60,6,FALSE),"0")</f>
        <v>1171.412</v>
      </c>
      <c r="O67" s="116">
        <f>+IFERROR(VLOOKUP(B67,'Hørkram Q4'!$B$6:$G$60,5,FALSE),"0")</f>
        <v>1984.1559999999999</v>
      </c>
      <c r="P67" s="156"/>
      <c r="Q67" s="157"/>
      <c r="R67" s="101">
        <v>48</v>
      </c>
      <c r="S67" s="98">
        <v>49.716000000000001</v>
      </c>
      <c r="T67" s="118"/>
      <c r="U67" s="105"/>
      <c r="V67" s="30"/>
    </row>
    <row r="68" spans="1:24" ht="15.75" x14ac:dyDescent="0.25">
      <c r="A68" s="11" t="s">
        <v>48</v>
      </c>
      <c r="B68" s="36">
        <v>200536248</v>
      </c>
      <c r="C68" s="221"/>
      <c r="D68" s="221"/>
      <c r="E68" s="221"/>
      <c r="F68" s="221"/>
      <c r="G68" s="36" t="s">
        <v>174</v>
      </c>
      <c r="H68" s="36" t="s">
        <v>124</v>
      </c>
      <c r="I68" s="21">
        <f t="shared" si="16"/>
        <v>46.666207844230556</v>
      </c>
      <c r="J68" s="22">
        <f t="shared" si="17"/>
        <v>800.10799999999995</v>
      </c>
      <c r="K68" s="116">
        <f t="shared" si="18"/>
        <v>1714.5339999999999</v>
      </c>
      <c r="L68" s="171">
        <f>+IFERROR(VLOOKUP(C68,'Nemlig Q4'!$A$2:$J$52,6,FALSE),0)</f>
        <v>0</v>
      </c>
      <c r="M68" s="171">
        <f>+IFERROR(VLOOKUP(C68,'Nemlig Q4'!$A$2:$J$52,10,FALSE),0)</f>
        <v>0</v>
      </c>
      <c r="N68" s="22">
        <f>+IFERROR(VLOOKUP(B68,'Hørkram Q4'!$B$6:$G$60,6,FALSE),"0")</f>
        <v>746.10799999999995</v>
      </c>
      <c r="O68" s="116">
        <f>+IFERROR(VLOOKUP(B68,'Hørkram Q4'!$B$6:$G$60,5,FALSE),"0")</f>
        <v>1660.1559999999999</v>
      </c>
      <c r="P68" s="156"/>
      <c r="Q68" s="157"/>
      <c r="R68" s="101">
        <v>54</v>
      </c>
      <c r="S68" s="98">
        <v>54.378</v>
      </c>
      <c r="T68" s="118"/>
      <c r="U68" s="105"/>
      <c r="V68" s="30"/>
    </row>
    <row r="69" spans="1:24" ht="15.75" x14ac:dyDescent="0.25">
      <c r="A69" s="11" t="s">
        <v>12</v>
      </c>
      <c r="B69" s="36">
        <v>200692968</v>
      </c>
      <c r="C69" s="221"/>
      <c r="D69" s="221"/>
      <c r="E69" s="221"/>
      <c r="F69" s="221"/>
      <c r="G69" s="36" t="s">
        <v>174</v>
      </c>
      <c r="H69" s="36" t="s">
        <v>124</v>
      </c>
      <c r="I69" s="21">
        <f t="shared" si="16"/>
        <v>53.871556575651461</v>
      </c>
      <c r="J69" s="22">
        <f t="shared" si="17"/>
        <v>7959.8009999999995</v>
      </c>
      <c r="K69" s="116">
        <f t="shared" si="18"/>
        <v>14775.517</v>
      </c>
      <c r="L69" s="171">
        <f>+IFERROR(VLOOKUP(C69,'Nemlig Q4'!$A$2:$J$52,6,FALSE),0)</f>
        <v>0</v>
      </c>
      <c r="M69" s="171">
        <f>+IFERROR(VLOOKUP(C69,'Nemlig Q4'!$A$2:$J$52,10,FALSE),0)</f>
        <v>0</v>
      </c>
      <c r="N69" s="22">
        <f>+IFERROR(VLOOKUP(B69,'Hørkram Q4'!$B$6:$G$60,6,FALSE),"0")</f>
        <v>7836.7389999999996</v>
      </c>
      <c r="O69" s="116">
        <f>+IFERROR(VLOOKUP(B69,'Hørkram Q4'!$B$6:$G$60,5,FALSE),"0")</f>
        <v>14647.754999999999</v>
      </c>
      <c r="P69" s="147"/>
      <c r="Q69" s="148"/>
      <c r="R69" s="111">
        <v>120.432</v>
      </c>
      <c r="S69" s="110">
        <v>120.432</v>
      </c>
      <c r="T69" s="118">
        <f>(16*0.03)+(9*0.03)+0.2+(6*0.03)+1.5</f>
        <v>2.63</v>
      </c>
      <c r="U69" s="105">
        <f>(16*0.03)+(24*0.12)+(9*0.03)+0.2+0.5+(10*0.03)+1.5+1.2</f>
        <v>7.33</v>
      </c>
      <c r="V69" s="30"/>
    </row>
    <row r="70" spans="1:24" x14ac:dyDescent="0.25">
      <c r="A70" s="11" t="s">
        <v>23</v>
      </c>
      <c r="B70" s="36">
        <v>200652849</v>
      </c>
      <c r="C70" s="221"/>
      <c r="D70" s="221"/>
      <c r="E70" s="221"/>
      <c r="F70" s="221"/>
      <c r="G70" s="36" t="s">
        <v>174</v>
      </c>
      <c r="H70" s="36" t="s">
        <v>124</v>
      </c>
      <c r="I70" s="21">
        <f t="shared" si="16"/>
        <v>42.900539852342831</v>
      </c>
      <c r="J70" s="22">
        <f t="shared" si="17"/>
        <v>741.9849999999999</v>
      </c>
      <c r="K70" s="116">
        <f t="shared" si="18"/>
        <v>1729.547</v>
      </c>
      <c r="L70" s="171">
        <f>+IFERROR(VLOOKUP(C70,'Nemlig Q4'!$A$2:$J$52,6,FALSE),0)</f>
        <v>0</v>
      </c>
      <c r="M70" s="171">
        <f>+IFERROR(VLOOKUP(C70,'Nemlig Q4'!$A$2:$J$52,10,FALSE),0)</f>
        <v>0</v>
      </c>
      <c r="N70" s="22">
        <f>+IFERROR(VLOOKUP(B70,'Hørkram Q4'!$B$6:$G$60,6,FALSE),"0")</f>
        <v>674.66499999999996</v>
      </c>
      <c r="O70" s="116">
        <f>+IFERROR(VLOOKUP(B70,'Hørkram Q4'!$B$6:$G$60,5,FALSE),"0")</f>
        <v>1662.2270000000001</v>
      </c>
      <c r="P70" s="147"/>
      <c r="Q70" s="148"/>
      <c r="R70" s="101">
        <v>67.319999999999993</v>
      </c>
      <c r="S70" s="110">
        <v>67.319999999999993</v>
      </c>
      <c r="T70" s="118"/>
      <c r="U70" s="105"/>
      <c r="V70" s="30"/>
    </row>
    <row r="71" spans="1:24" x14ac:dyDescent="0.25">
      <c r="A71" s="11" t="s">
        <v>24</v>
      </c>
      <c r="B71" s="36">
        <v>200652900</v>
      </c>
      <c r="C71" s="221"/>
      <c r="D71" s="221"/>
      <c r="E71" s="221"/>
      <c r="F71" s="221"/>
      <c r="G71" s="36" t="s">
        <v>174</v>
      </c>
      <c r="H71" s="36" t="s">
        <v>124</v>
      </c>
      <c r="I71" s="21">
        <f t="shared" si="16"/>
        <v>21.712211616805789</v>
      </c>
      <c r="J71" s="22">
        <f t="shared" si="17"/>
        <v>303.52</v>
      </c>
      <c r="K71" s="116">
        <f t="shared" si="18"/>
        <v>1397.923</v>
      </c>
      <c r="L71" s="171">
        <f>+IFERROR(VLOOKUP(C71,'Nemlig Q4'!$A$2:$J$52,6,FALSE),0)</f>
        <v>0</v>
      </c>
      <c r="M71" s="171">
        <f>+IFERROR(VLOOKUP(C71,'Nemlig Q4'!$A$2:$J$52,10,FALSE),0)</f>
        <v>0</v>
      </c>
      <c r="N71" s="22">
        <f>+IFERROR(VLOOKUP(B71,'Hørkram Q4'!$B$6:$G$60,6,FALSE),"0")</f>
        <v>303.52</v>
      </c>
      <c r="O71" s="116">
        <f>+IFERROR(VLOOKUP(B71,'Hørkram Q4'!$B$6:$G$60,5,FALSE),"0")</f>
        <v>1397.923</v>
      </c>
      <c r="P71" s="147"/>
      <c r="Q71" s="148"/>
      <c r="R71" s="101"/>
      <c r="S71" s="98"/>
      <c r="T71" s="118"/>
      <c r="U71" s="105"/>
      <c r="V71" s="30"/>
    </row>
    <row r="72" spans="1:24" x14ac:dyDescent="0.25">
      <c r="A72" s="11" t="s">
        <v>241</v>
      </c>
      <c r="B72" s="36">
        <v>200221267</v>
      </c>
      <c r="C72" s="221"/>
      <c r="D72" s="221"/>
      <c r="E72" s="221"/>
      <c r="F72" s="221"/>
      <c r="G72" s="36"/>
      <c r="H72" s="36" t="s">
        <v>124</v>
      </c>
      <c r="I72" s="21">
        <f t="shared" ref="I72" si="19">(J72*100)/K72</f>
        <v>44.309731697899828</v>
      </c>
      <c r="J72" s="22">
        <f t="shared" ref="J72" si="20">+L72+N72+P72+R72+T72</f>
        <v>469.36900000000003</v>
      </c>
      <c r="K72" s="116">
        <f t="shared" ref="K72" si="21">+M72+O72+Q72+S72+U72</f>
        <v>1059.2909999999999</v>
      </c>
      <c r="L72" s="171">
        <f>+IFERROR(VLOOKUP(C72,'Nemlig Q4'!$A$2:$J$52,6,FALSE),0)</f>
        <v>0</v>
      </c>
      <c r="M72" s="171">
        <f>+IFERROR(VLOOKUP(C72,'Nemlig Q4'!$A$2:$J$52,10,FALSE),0)</f>
        <v>0</v>
      </c>
      <c r="N72" s="22">
        <f>+IFERROR(VLOOKUP(B72,'Hørkram Q4'!$B$6:$G$60,6,FALSE),"0")</f>
        <v>469.36900000000003</v>
      </c>
      <c r="O72" s="116">
        <f>+IFERROR(VLOOKUP(B72,'Hørkram Q4'!$B$6:$G$60,5,FALSE),"0")</f>
        <v>1059.2909999999999</v>
      </c>
      <c r="P72" s="147"/>
      <c r="Q72" s="148"/>
      <c r="R72" s="101"/>
      <c r="S72" s="98"/>
      <c r="T72" s="123"/>
      <c r="U72" s="105"/>
      <c r="V72" s="30"/>
    </row>
    <row r="73" spans="1:24" ht="15.75" x14ac:dyDescent="0.25">
      <c r="A73" s="11" t="s">
        <v>180</v>
      </c>
      <c r="B73" s="36"/>
      <c r="C73" s="221">
        <v>2163130</v>
      </c>
      <c r="D73" s="221">
        <v>1088515</v>
      </c>
      <c r="E73" s="221"/>
      <c r="F73" s="221"/>
      <c r="G73" s="36" t="s">
        <v>175</v>
      </c>
      <c r="H73" s="36" t="s">
        <v>120</v>
      </c>
      <c r="I73" s="21">
        <f t="shared" si="16"/>
        <v>50.630011960297104</v>
      </c>
      <c r="J73" s="22">
        <f>+L73+N73+P73+R73+T73</f>
        <v>344.15699999999998</v>
      </c>
      <c r="K73" s="116">
        <f t="shared" si="18"/>
        <v>679.74900000000002</v>
      </c>
      <c r="L73" s="171">
        <f>+IFERROR(VLOOKUP(C73,'Nemlig Q4'!$A$2:$J$52,6,FALSE),0)+'Nemlig Q4'!F5</f>
        <v>344.15699999999998</v>
      </c>
      <c r="M73" s="171">
        <f>+IFERROR(VLOOKUP(C73,'Nemlig Q4'!$A$2:$J$52,10,FALSE),0)+'Nemlig Q4'!J5</f>
        <v>679.74900000000002</v>
      </c>
      <c r="N73" s="22" t="str">
        <f>+IFERROR(VLOOKUP(B73,'Hørkram Q4'!$B$6:$G$60,6,FALSE),"0")</f>
        <v>0</v>
      </c>
      <c r="O73" s="116" t="str">
        <f>+IFERROR(VLOOKUP(B73,'Hørkram Q4'!$B$6:$G$60,5,FALSE),"0")</f>
        <v>0</v>
      </c>
      <c r="P73" s="147"/>
      <c r="Q73" s="148"/>
      <c r="R73" s="151"/>
      <c r="S73" s="114"/>
      <c r="T73" s="122"/>
      <c r="U73" s="105"/>
      <c r="V73" s="30"/>
    </row>
    <row r="74" spans="1:24" ht="15.75" x14ac:dyDescent="0.25">
      <c r="A74" s="11" t="s">
        <v>222</v>
      </c>
      <c r="B74" s="36">
        <v>200039428</v>
      </c>
      <c r="C74" s="221"/>
      <c r="D74" s="221"/>
      <c r="E74" s="221"/>
      <c r="F74" s="221"/>
      <c r="G74" s="36" t="s">
        <v>174</v>
      </c>
      <c r="H74" s="36" t="s">
        <v>122</v>
      </c>
      <c r="I74" s="21">
        <f>IFERROR(((J74*100)/K74)," ")</f>
        <v>71.516172009148136</v>
      </c>
      <c r="J74" s="22">
        <f>+L74+N74+P74+R74+T74</f>
        <v>687.63299999999992</v>
      </c>
      <c r="K74" s="116">
        <f t="shared" ref="K74" si="22">+M74+O74+Q74+S74+U74</f>
        <v>961.50699999999995</v>
      </c>
      <c r="L74" s="171">
        <f>+IFERROR(VLOOKUP(C74,'Nemlig Q4'!$A$2:$J$52,6,FALSE),0)</f>
        <v>0</v>
      </c>
      <c r="M74" s="171">
        <f>+IFERROR(VLOOKUP(C74,'Nemlig Q4'!$A$2:$J$52,10,FALSE),0)</f>
        <v>0</v>
      </c>
      <c r="N74" s="22">
        <f>+IFERROR(VLOOKUP(B74,'Hørkram Q4'!$B$6:$G$60,6,FALSE),"0")</f>
        <v>659.95899999999995</v>
      </c>
      <c r="O74" s="116">
        <f>+IFERROR(VLOOKUP(B74,'Hørkram Q4'!$B$6:$G$60,5,FALSE),"0")</f>
        <v>933.83299999999997</v>
      </c>
      <c r="P74" s="156"/>
      <c r="Q74" s="157"/>
      <c r="R74" s="151">
        <v>27.673999999999999</v>
      </c>
      <c r="S74" s="114">
        <v>27.673999999999999</v>
      </c>
      <c r="T74" s="123"/>
      <c r="U74" s="105"/>
      <c r="V74" s="30"/>
    </row>
    <row r="75" spans="1:24" ht="15.75" x14ac:dyDescent="0.25">
      <c r="A75" s="11" t="s">
        <v>59</v>
      </c>
      <c r="B75" s="36" t="s">
        <v>240</v>
      </c>
      <c r="C75" s="221">
        <v>2180848</v>
      </c>
      <c r="D75" s="221">
        <v>1501208</v>
      </c>
      <c r="E75" s="221"/>
      <c r="F75" s="221"/>
      <c r="G75" s="36" t="s">
        <v>175</v>
      </c>
      <c r="H75" s="36" t="s">
        <v>126</v>
      </c>
      <c r="I75" s="21">
        <f t="shared" si="16"/>
        <v>29.122078824043939</v>
      </c>
      <c r="J75" s="22">
        <f>+L75+N75+P75+R74+T75</f>
        <v>177.79000000000002</v>
      </c>
      <c r="K75" s="116">
        <f>+M75+O75+Q75+S75+U75</f>
        <v>610.49900000000014</v>
      </c>
      <c r="L75" s="171">
        <f>+IFERROR(VLOOKUP(C75,'Nemlig Q4'!$A$2:$J$52,6,FALSE),0)</f>
        <v>0</v>
      </c>
      <c r="M75" s="171">
        <f>+IFERROR(VLOOKUP(C75,'Nemlig Q4'!$A$2:$J$52,10,FALSE),0)</f>
        <v>32.32</v>
      </c>
      <c r="N75" s="22">
        <f>+'Hørkram Q4'!G40+'Hørkram Q4'!G43</f>
        <v>150.11600000000001</v>
      </c>
      <c r="O75" s="116">
        <f>+'Hørkram Q4'!F40+'Hørkram Q4'!F43</f>
        <v>562.17900000000009</v>
      </c>
      <c r="P75" s="147"/>
      <c r="Q75" s="148"/>
      <c r="R75" s="151">
        <v>16</v>
      </c>
      <c r="S75" s="114">
        <v>16</v>
      </c>
      <c r="T75" s="118"/>
      <c r="U75" s="105"/>
      <c r="V75" s="30"/>
    </row>
    <row r="76" spans="1:24" ht="15.75" x14ac:dyDescent="0.25">
      <c r="A76" s="11" t="s">
        <v>66</v>
      </c>
      <c r="B76" s="36"/>
      <c r="C76" s="221">
        <v>1166810</v>
      </c>
      <c r="D76" s="221"/>
      <c r="E76" s="221"/>
      <c r="F76" s="221"/>
      <c r="G76" s="36" t="s">
        <v>175</v>
      </c>
      <c r="H76" s="36" t="s">
        <v>123</v>
      </c>
      <c r="I76" s="21"/>
      <c r="J76" s="22">
        <f t="shared" si="17"/>
        <v>0</v>
      </c>
      <c r="K76" s="116">
        <f t="shared" si="18"/>
        <v>0</v>
      </c>
      <c r="L76" s="171">
        <f>+IFERROR(VLOOKUP(C76,'Nemlig Q4'!$A$2:$J$52,6,FALSE),0)</f>
        <v>0</v>
      </c>
      <c r="M76" s="171">
        <f>+IFERROR(VLOOKUP(C76,'Nemlig Q4'!$A$2:$J$52,10,FALSE),0)</f>
        <v>0</v>
      </c>
      <c r="N76" s="22" t="str">
        <f>+IFERROR(VLOOKUP(B76,'Hørkram Q4'!$B$6:$G$60,6,FALSE),"0")</f>
        <v>0</v>
      </c>
      <c r="O76" s="116" t="str">
        <f>+IFERROR(VLOOKUP(B76,'Hørkram Q4'!$B$6:$G$60,5,FALSE),"0")</f>
        <v>0</v>
      </c>
      <c r="P76" s="156"/>
      <c r="Q76" s="157"/>
      <c r="R76" s="151"/>
      <c r="S76" s="114"/>
      <c r="T76" s="118"/>
      <c r="U76" s="105"/>
      <c r="V76" s="29"/>
      <c r="W76" s="5"/>
      <c r="X76" s="5"/>
    </row>
    <row r="77" spans="1:24" ht="15.75" x14ac:dyDescent="0.25">
      <c r="A77" s="11" t="s">
        <v>9</v>
      </c>
      <c r="B77" s="36"/>
      <c r="C77" s="221">
        <v>1043650</v>
      </c>
      <c r="D77" s="221"/>
      <c r="E77" s="221"/>
      <c r="F77" s="221"/>
      <c r="G77" s="36" t="s">
        <v>174</v>
      </c>
      <c r="H77" s="36" t="s">
        <v>121</v>
      </c>
      <c r="I77" s="21">
        <f t="shared" si="16"/>
        <v>81.349474479848141</v>
      </c>
      <c r="J77" s="22">
        <f t="shared" si="17"/>
        <v>1136.5269999999998</v>
      </c>
      <c r="K77" s="116">
        <f t="shared" si="18"/>
        <v>1397.0919999999999</v>
      </c>
      <c r="L77" s="171">
        <f>+IFERROR(VLOOKUP(C77,'Nemlig Q4'!$A$2:$J$52,6,FALSE),0)</f>
        <v>1040.3019999999999</v>
      </c>
      <c r="M77" s="171">
        <f>+IFERROR(VLOOKUP(C77,'Nemlig Q4'!$A$2:$J$52,10,FALSE),0)</f>
        <v>1278.1669999999999</v>
      </c>
      <c r="N77" s="22" t="str">
        <f>+IFERROR(VLOOKUP(B77,'Hørkram Q4'!$B$6:$G$60,6,FALSE),"0")</f>
        <v>0</v>
      </c>
      <c r="O77" s="116" t="str">
        <f>+IFERROR(VLOOKUP(B77,'Hørkram Q4'!$B$6:$G$60,5,FALSE),"0")</f>
        <v>0</v>
      </c>
      <c r="P77" s="156"/>
      <c r="Q77" s="157"/>
      <c r="R77" s="111"/>
      <c r="S77" s="109"/>
      <c r="T77" s="118">
        <v>96.224999999999994</v>
      </c>
      <c r="U77" s="105">
        <v>118.925</v>
      </c>
      <c r="V77" s="29"/>
      <c r="W77" s="5"/>
      <c r="X77" s="5"/>
    </row>
    <row r="78" spans="1:24" ht="15.75" x14ac:dyDescent="0.25">
      <c r="A78" s="11" t="s">
        <v>89</v>
      </c>
      <c r="B78" s="36"/>
      <c r="C78" s="221"/>
      <c r="D78" s="221"/>
      <c r="E78" s="221"/>
      <c r="F78" s="221"/>
      <c r="G78" s="36"/>
      <c r="H78" s="36" t="s">
        <v>124</v>
      </c>
      <c r="I78" s="21" t="str">
        <f>IFERROR(((J78*100)/K78)," ")</f>
        <v xml:space="preserve"> </v>
      </c>
      <c r="J78" s="22">
        <f t="shared" si="17"/>
        <v>0</v>
      </c>
      <c r="K78" s="116">
        <f t="shared" si="18"/>
        <v>0</v>
      </c>
      <c r="L78" s="171">
        <f>+IFERROR(VLOOKUP(C78,'Nemlig Q4'!$A$2:$J$52,6,FALSE),0)</f>
        <v>0</v>
      </c>
      <c r="M78" s="171">
        <f>+IFERROR(VLOOKUP(C78,'Nemlig Q4'!$A$2:$J$52,10,FALSE),0)</f>
        <v>0</v>
      </c>
      <c r="N78" s="22" t="str">
        <f>+IFERROR(VLOOKUP(B78,'Hørkram Q4'!$B$6:$G$60,6,FALSE),"0")</f>
        <v>0</v>
      </c>
      <c r="O78" s="116" t="str">
        <f>+IFERROR(VLOOKUP(B78,'Hørkram Q4'!$B$6:$G$60,5,FALSE),"0")</f>
        <v>0</v>
      </c>
      <c r="P78" s="156"/>
      <c r="Q78" s="157"/>
      <c r="R78" s="101"/>
      <c r="S78" s="110"/>
      <c r="T78" s="124"/>
      <c r="U78" s="128"/>
      <c r="V78" s="30"/>
    </row>
    <row r="79" spans="1:24" ht="15.75" x14ac:dyDescent="0.25">
      <c r="A79" s="11" t="s">
        <v>11</v>
      </c>
      <c r="B79" s="36">
        <v>200138510</v>
      </c>
      <c r="C79" s="221"/>
      <c r="D79" s="221"/>
      <c r="E79" s="221"/>
      <c r="F79" s="221"/>
      <c r="G79" s="36" t="s">
        <v>174</v>
      </c>
      <c r="H79" s="36" t="s">
        <v>119</v>
      </c>
      <c r="I79" s="21">
        <f t="shared" si="16"/>
        <v>99.951085474367844</v>
      </c>
      <c r="J79" s="22">
        <f t="shared" si="17"/>
        <v>1260.7670000000001</v>
      </c>
      <c r="K79" s="116">
        <f t="shared" si="18"/>
        <v>1261.384</v>
      </c>
      <c r="L79" s="171">
        <f>+IFERROR(VLOOKUP(C79,'Nemlig Q4'!$A$2:$J$52,6,FALSE),0)</f>
        <v>0</v>
      </c>
      <c r="M79" s="171">
        <f>+IFERROR(VLOOKUP(C79,'Nemlig Q4'!$A$2:$J$52,10,FALSE),0)</f>
        <v>0</v>
      </c>
      <c r="N79" s="22">
        <f>+IFERROR(VLOOKUP(B79,'Hørkram Q4'!$B$6:$G$60,6,FALSE),"0")</f>
        <v>1245.7670000000001</v>
      </c>
      <c r="O79" s="116">
        <f>+IFERROR(VLOOKUP(B79,'Hørkram Q4'!$B$6:$G$60,5,FALSE),"0")</f>
        <v>1246.384</v>
      </c>
      <c r="P79" s="147"/>
      <c r="Q79" s="148"/>
      <c r="R79" s="151">
        <v>15</v>
      </c>
      <c r="S79" s="109">
        <v>15</v>
      </c>
      <c r="T79" s="118"/>
      <c r="U79" s="105"/>
      <c r="V79" s="29"/>
      <c r="W79" s="5"/>
      <c r="X79" s="5"/>
    </row>
    <row r="80" spans="1:24" ht="15.75" x14ac:dyDescent="0.25">
      <c r="A80" s="11" t="s">
        <v>96</v>
      </c>
      <c r="B80" s="36">
        <v>200041414</v>
      </c>
      <c r="C80" s="221"/>
      <c r="D80" s="221"/>
      <c r="E80" s="221"/>
      <c r="F80" s="221"/>
      <c r="G80" s="36" t="s">
        <v>174</v>
      </c>
      <c r="H80" s="36" t="s">
        <v>119</v>
      </c>
      <c r="I80" s="21">
        <f t="shared" si="16"/>
        <v>91.5690917750116</v>
      </c>
      <c r="J80" s="22">
        <f t="shared" si="17"/>
        <v>1799.6329999999998</v>
      </c>
      <c r="K80" s="116">
        <f t="shared" si="18"/>
        <v>1965.328</v>
      </c>
      <c r="L80" s="171">
        <f>+IFERROR(VLOOKUP(C80,'Nemlig Q4'!$A$2:$J$52,6,FALSE),0)</f>
        <v>0</v>
      </c>
      <c r="M80" s="171">
        <f>+IFERROR(VLOOKUP(C80,'Nemlig Q4'!$A$2:$J$52,10,FALSE),0)</f>
        <v>0</v>
      </c>
      <c r="N80" s="22">
        <f>+IFERROR(VLOOKUP(B80,'Hørkram Q4'!$B$6:$G$60,6,FALSE),"0")</f>
        <v>1789.2729999999999</v>
      </c>
      <c r="O80" s="116">
        <f>+IFERROR(VLOOKUP(B80,'Hørkram Q4'!$B$6:$G$60,5,FALSE),"0")</f>
        <v>1954.9680000000001</v>
      </c>
      <c r="P80" s="147"/>
      <c r="Q80" s="148"/>
      <c r="R80" s="111">
        <v>10.36</v>
      </c>
      <c r="S80" s="115">
        <v>10.36</v>
      </c>
      <c r="T80" s="118"/>
      <c r="U80" s="105"/>
      <c r="V80" s="29"/>
      <c r="W80" s="5"/>
      <c r="X80" s="5"/>
    </row>
    <row r="81" spans="1:38" ht="15.75" x14ac:dyDescent="0.25">
      <c r="A81" s="11" t="s">
        <v>10</v>
      </c>
      <c r="B81" s="36"/>
      <c r="C81" s="221">
        <v>2174467</v>
      </c>
      <c r="D81" s="221">
        <v>2172346</v>
      </c>
      <c r="E81" s="221">
        <v>2165538</v>
      </c>
      <c r="F81" s="221"/>
      <c r="G81" s="36" t="s">
        <v>174</v>
      </c>
      <c r="H81" s="36" t="s">
        <v>124</v>
      </c>
      <c r="I81" s="21">
        <f t="shared" si="16"/>
        <v>39.088335189463827</v>
      </c>
      <c r="J81" s="22">
        <f t="shared" si="17"/>
        <v>352.73900000000003</v>
      </c>
      <c r="K81" s="116">
        <f t="shared" si="18"/>
        <v>902.41500000000008</v>
      </c>
      <c r="L81" s="171">
        <f>+IFERROR(VLOOKUP(C81,'Nemlig Q4'!$A$2:$J$52,6,FALSE),0)</f>
        <v>327.13900000000001</v>
      </c>
      <c r="M81" s="171">
        <f>+IFERROR(VLOOKUP(C81,'Nemlig Q4'!$A$2:$J$52,10,FALSE),0)</f>
        <v>876.81500000000005</v>
      </c>
      <c r="N81" s="22" t="str">
        <f>+IFERROR(VLOOKUP(B81,'Hørkram Q4'!$B$6:$G$60,6,FALSE),"0")</f>
        <v>0</v>
      </c>
      <c r="O81" s="116" t="str">
        <f>+IFERROR(VLOOKUP(B81,'Hørkram Q4'!$B$6:$G$60,5,FALSE),"0")</f>
        <v>0</v>
      </c>
      <c r="P81" s="147"/>
      <c r="Q81" s="148"/>
      <c r="R81" s="111">
        <v>25.6</v>
      </c>
      <c r="S81" s="109">
        <v>25.6</v>
      </c>
      <c r="T81" s="118"/>
      <c r="U81" s="105"/>
      <c r="V81" s="29"/>
      <c r="W81" s="5"/>
      <c r="X81" s="5"/>
    </row>
    <row r="82" spans="1:38" ht="15.75" x14ac:dyDescent="0.25">
      <c r="A82" s="11" t="s">
        <v>17</v>
      </c>
      <c r="B82" s="36">
        <v>200137940</v>
      </c>
      <c r="C82" s="221">
        <v>2163076</v>
      </c>
      <c r="D82" s="221"/>
      <c r="E82" s="221"/>
      <c r="F82" s="221"/>
      <c r="G82" s="36" t="s">
        <v>174</v>
      </c>
      <c r="H82" s="36" t="s">
        <v>119</v>
      </c>
      <c r="I82" s="21">
        <f t="shared" si="16"/>
        <v>95.782349078514699</v>
      </c>
      <c r="J82" s="22">
        <f t="shared" si="17"/>
        <v>749.74400000000003</v>
      </c>
      <c r="K82" s="116">
        <f t="shared" si="18"/>
        <v>782.75800000000004</v>
      </c>
      <c r="L82" s="171">
        <f>+IFERROR(VLOOKUP(C82,'Nemlig Q4'!$A$2:$J$52,6,FALSE),0)</f>
        <v>208.91900000000001</v>
      </c>
      <c r="M82" s="171">
        <f>+IFERROR(VLOOKUP(C82,'Nemlig Q4'!$A$2:$J$52,10,FALSE),0)</f>
        <v>219.589</v>
      </c>
      <c r="N82" s="22">
        <f>+IFERROR(VLOOKUP(B82,'Hørkram Q4'!$B$6:$G$60,6,FALSE),"0")</f>
        <v>534.82500000000005</v>
      </c>
      <c r="O82" s="116">
        <f>+IFERROR(VLOOKUP(B82,'Hørkram Q4'!$B$6:$G$60,5,FALSE),"0")</f>
        <v>557.16899999999998</v>
      </c>
      <c r="P82" s="147"/>
      <c r="Q82" s="148"/>
      <c r="R82" s="111">
        <v>6</v>
      </c>
      <c r="S82" s="115">
        <v>6</v>
      </c>
      <c r="T82" s="118"/>
      <c r="U82" s="105"/>
      <c r="V82" s="30"/>
    </row>
    <row r="83" spans="1:38" x14ac:dyDescent="0.25">
      <c r="A83" s="11" t="s">
        <v>67</v>
      </c>
      <c r="B83" s="36"/>
      <c r="C83" s="221"/>
      <c r="D83" s="221"/>
      <c r="E83" s="221"/>
      <c r="F83" s="221"/>
      <c r="G83" s="36" t="s">
        <v>175</v>
      </c>
      <c r="H83" s="36" t="s">
        <v>124</v>
      </c>
      <c r="I83" s="21" t="str">
        <f>IFERROR(((J83*100)/K83)," ")</f>
        <v xml:space="preserve"> </v>
      </c>
      <c r="J83" s="22">
        <f t="shared" si="17"/>
        <v>0</v>
      </c>
      <c r="K83" s="116">
        <f t="shared" si="18"/>
        <v>0</v>
      </c>
      <c r="L83" s="171">
        <f>+IFERROR(VLOOKUP(C83,'Nemlig Q4'!$A$2:$J$52,6,FALSE),0)</f>
        <v>0</v>
      </c>
      <c r="M83" s="171">
        <f>+IFERROR(VLOOKUP(C83,'Nemlig Q4'!$A$2:$J$52,10,FALSE),0)</f>
        <v>0</v>
      </c>
      <c r="N83" s="22"/>
      <c r="O83" s="116"/>
      <c r="P83" s="147"/>
      <c r="Q83" s="148"/>
      <c r="R83" s="101"/>
      <c r="S83" s="110"/>
      <c r="T83" s="103"/>
      <c r="U83" s="105"/>
      <c r="V83" s="30"/>
    </row>
    <row r="84" spans="1:38" ht="15.75" x14ac:dyDescent="0.25">
      <c r="A84" s="11" t="s">
        <v>73</v>
      </c>
      <c r="B84" s="36"/>
      <c r="C84" s="221">
        <v>1611791</v>
      </c>
      <c r="D84" s="221"/>
      <c r="E84" s="221"/>
      <c r="F84" s="221"/>
      <c r="G84" s="36" t="s">
        <v>175</v>
      </c>
      <c r="H84" s="36" t="s">
        <v>119</v>
      </c>
      <c r="I84" s="21">
        <f>IFERROR(((J84*100)/K84)," ")</f>
        <v>0.82474226804123718</v>
      </c>
      <c r="J84" s="22">
        <f t="shared" si="17"/>
        <v>0.36</v>
      </c>
      <c r="K84" s="116">
        <f t="shared" si="18"/>
        <v>43.65</v>
      </c>
      <c r="L84" s="171">
        <f>+IFERROR(VLOOKUP(C84,'Nemlig Q4'!$A$2:$J$52,6,FALSE),0)</f>
        <v>0</v>
      </c>
      <c r="M84" s="171">
        <f>+IFERROR(VLOOKUP(C84,'Nemlig Q4'!$A$2:$J$52,10,FALSE),0)</f>
        <v>43.29</v>
      </c>
      <c r="N84" s="22"/>
      <c r="O84" s="116"/>
      <c r="P84" s="147"/>
      <c r="Q84" s="148"/>
      <c r="R84" s="111">
        <v>0.36</v>
      </c>
      <c r="S84" s="109">
        <v>0.36</v>
      </c>
      <c r="T84" s="118"/>
      <c r="U84" s="105"/>
      <c r="V84" s="33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</row>
    <row r="85" spans="1:38" ht="15.75" x14ac:dyDescent="0.25">
      <c r="A85" s="11" t="s">
        <v>37</v>
      </c>
      <c r="B85" s="36" t="s">
        <v>107</v>
      </c>
      <c r="C85" s="221"/>
      <c r="D85" s="221"/>
      <c r="E85" s="221"/>
      <c r="F85" s="221"/>
      <c r="G85" s="36" t="s">
        <v>174</v>
      </c>
      <c r="H85" s="36" t="s">
        <v>125</v>
      </c>
      <c r="I85" s="21">
        <f t="shared" si="16"/>
        <v>77.178859048987349</v>
      </c>
      <c r="J85" s="22">
        <f>+L85+N85+P85+R85+T85</f>
        <v>8916.32</v>
      </c>
      <c r="K85" s="116">
        <f>+M85+O85+Q85+S85+U85</f>
        <v>11552.800999999999</v>
      </c>
      <c r="L85" s="171">
        <f>+IFERROR(VLOOKUP(C85,'Nemlig Q4'!$A$2:$J$52,6,FALSE),0)</f>
        <v>0</v>
      </c>
      <c r="M85" s="171">
        <f>+IFERROR(VLOOKUP(C85,'Nemlig Q4'!$A$2:$J$52,10,FALSE),0)</f>
        <v>0</v>
      </c>
      <c r="N85" s="22">
        <f>+'Hørkram Q4'!G29+'Hørkram Q4'!G49</f>
        <v>8512.1119999999992</v>
      </c>
      <c r="O85" s="116">
        <f>+'Hørkram Q4'!F29+'Hørkram Q4'!F49</f>
        <v>10530.666999999999</v>
      </c>
      <c r="P85" s="156"/>
      <c r="Q85" s="193">
        <f>362.084+20+43.27+2.5</f>
        <v>427.85399999999998</v>
      </c>
      <c r="R85" s="111">
        <v>404.20800000000003</v>
      </c>
      <c r="S85" s="109">
        <v>594.28</v>
      </c>
      <c r="T85" s="118"/>
      <c r="U85" s="105"/>
    </row>
    <row r="86" spans="1:38" ht="15.75" x14ac:dyDescent="0.25">
      <c r="A86" s="11" t="s">
        <v>113</v>
      </c>
      <c r="B86" s="36">
        <v>200031637</v>
      </c>
      <c r="C86" s="221"/>
      <c r="D86" s="221"/>
      <c r="E86" s="221"/>
      <c r="F86" s="221"/>
      <c r="G86" s="36" t="s">
        <v>175</v>
      </c>
      <c r="H86" s="36" t="s">
        <v>126</v>
      </c>
      <c r="I86" s="21">
        <f t="shared" si="16"/>
        <v>14.64754182252787</v>
      </c>
      <c r="J86" s="22">
        <f t="shared" si="17"/>
        <v>88.730999999999995</v>
      </c>
      <c r="K86" s="116">
        <f t="shared" si="18"/>
        <v>605.774</v>
      </c>
      <c r="L86" s="171">
        <f>+IFERROR(VLOOKUP(C86,'Nemlig Q4'!$A$2:$J$52,6,FALSE),0)</f>
        <v>0</v>
      </c>
      <c r="M86" s="171">
        <f>+IFERROR(VLOOKUP(C86,'Nemlig Q4'!$A$2:$J$52,10,FALSE),0)</f>
        <v>0</v>
      </c>
      <c r="N86" s="22">
        <f>+IFERROR(VLOOKUP(B86,'Hørkram Q4'!$B$6:$G$60,6,FALSE),"0")</f>
        <v>88.730999999999995</v>
      </c>
      <c r="O86" s="116">
        <f>+IFERROR(VLOOKUP(B86,'Hørkram Q4'!$B$6:$G$60,5,FALSE),"0")</f>
        <v>605.774</v>
      </c>
      <c r="P86" s="158"/>
      <c r="Q86" s="157"/>
      <c r="R86" s="111"/>
      <c r="S86" s="109"/>
      <c r="T86" s="118"/>
      <c r="U86" s="105"/>
      <c r="V86" s="130"/>
      <c r="W86" s="146"/>
      <c r="X86" s="146"/>
    </row>
    <row r="87" spans="1:38" ht="15.75" x14ac:dyDescent="0.25">
      <c r="A87" s="11" t="s">
        <v>81</v>
      </c>
      <c r="B87" s="36"/>
      <c r="C87" s="221">
        <v>1383843</v>
      </c>
      <c r="D87" s="221"/>
      <c r="E87" s="221"/>
      <c r="F87" s="221"/>
      <c r="G87" s="36" t="s">
        <v>175</v>
      </c>
      <c r="H87" s="36" t="s">
        <v>121</v>
      </c>
      <c r="I87" s="21">
        <f>IFERROR(((J87*100)/K87)," ")</f>
        <v>81.166772352568174</v>
      </c>
      <c r="J87" s="22">
        <f t="shared" si="17"/>
        <v>25.6</v>
      </c>
      <c r="K87" s="116">
        <f t="shared" si="18"/>
        <v>31.54</v>
      </c>
      <c r="L87" s="171">
        <f>+IFERROR(VLOOKUP(C87,'Nemlig Q4'!$A$2:$J$52,6,FALSE),0)</f>
        <v>0</v>
      </c>
      <c r="M87" s="171">
        <f>+IFERROR(VLOOKUP(C87,'Nemlig Q4'!$A$2:$J$52,10,FALSE),0)</f>
        <v>0</v>
      </c>
      <c r="N87" s="22"/>
      <c r="O87" s="116"/>
      <c r="P87" s="156"/>
      <c r="Q87" s="157"/>
      <c r="R87" s="101">
        <v>25.6</v>
      </c>
      <c r="S87" s="98">
        <v>31.54</v>
      </c>
      <c r="T87" s="125"/>
      <c r="U87" s="105"/>
      <c r="V87" s="130"/>
      <c r="W87" s="146"/>
      <c r="X87" s="146"/>
    </row>
    <row r="88" spans="1:38" ht="15.75" x14ac:dyDescent="0.25">
      <c r="A88" s="11" t="s">
        <v>16</v>
      </c>
      <c r="B88" s="36">
        <v>200536200</v>
      </c>
      <c r="C88" s="221"/>
      <c r="D88" s="221"/>
      <c r="E88" s="221"/>
      <c r="F88" s="221"/>
      <c r="G88" s="36" t="s">
        <v>174</v>
      </c>
      <c r="H88" s="36" t="s">
        <v>124</v>
      </c>
      <c r="I88" s="21">
        <f t="shared" si="16"/>
        <v>56.555227355596664</v>
      </c>
      <c r="J88" s="22">
        <f t="shared" si="17"/>
        <v>1014.3869999999999</v>
      </c>
      <c r="K88" s="116">
        <f t="shared" si="18"/>
        <v>1793.6220000000001</v>
      </c>
      <c r="L88" s="171">
        <f>+IFERROR(VLOOKUP(C88,'Nemlig Q4'!$A$2:$J$52,6,FALSE),0)</f>
        <v>0</v>
      </c>
      <c r="M88" s="171">
        <f>+IFERROR(VLOOKUP(C88,'Nemlig Q4'!$A$2:$J$52,10,FALSE),0)</f>
        <v>0</v>
      </c>
      <c r="N88" s="22">
        <f>+IFERROR(VLOOKUP(B88,'Hørkram Q4'!$B$6:$G$60,6,FALSE),"0")</f>
        <v>1014.3869999999999</v>
      </c>
      <c r="O88" s="116">
        <f>+IFERROR(VLOOKUP(B88,'Hørkram Q4'!$B$6:$G$60,5,FALSE),"0")</f>
        <v>1793.6220000000001</v>
      </c>
      <c r="P88" s="159"/>
      <c r="Q88" s="160"/>
      <c r="R88" s="111"/>
      <c r="S88" s="109"/>
      <c r="T88" s="118"/>
      <c r="U88" s="105"/>
      <c r="V88" s="130"/>
      <c r="W88" s="146"/>
      <c r="X88" s="146"/>
    </row>
    <row r="89" spans="1:38" ht="15.75" x14ac:dyDescent="0.25">
      <c r="A89" s="11" t="s">
        <v>64</v>
      </c>
      <c r="B89" s="36"/>
      <c r="C89" s="221">
        <v>1365582</v>
      </c>
      <c r="D89" s="221"/>
      <c r="E89" s="221"/>
      <c r="F89" s="221"/>
      <c r="G89" s="36" t="s">
        <v>175</v>
      </c>
      <c r="H89" s="36" t="s">
        <v>120</v>
      </c>
      <c r="I89" s="21" t="str">
        <f>IFERROR(((J89*100)/K89)," ")</f>
        <v xml:space="preserve"> </v>
      </c>
      <c r="J89" s="22">
        <f t="shared" si="17"/>
        <v>0</v>
      </c>
      <c r="K89" s="116">
        <f t="shared" si="18"/>
        <v>0</v>
      </c>
      <c r="L89" s="171">
        <f>+IFERROR(VLOOKUP(C89,'Nemlig Q4'!$A$2:$J$52,6,FALSE),0)</f>
        <v>0</v>
      </c>
      <c r="M89" s="171">
        <f>+IFERROR(VLOOKUP(C89,'Nemlig Q4'!$A$2:$J$52,10,FALSE),0)</f>
        <v>0</v>
      </c>
      <c r="N89" s="22"/>
      <c r="O89" s="116"/>
      <c r="P89" s="158"/>
      <c r="Q89" s="161"/>
      <c r="R89" s="101"/>
      <c r="S89" s="110"/>
      <c r="T89" s="118"/>
      <c r="U89" s="105"/>
      <c r="V89" s="130"/>
      <c r="W89" s="146"/>
      <c r="X89" s="146"/>
    </row>
    <row r="90" spans="1:38" ht="15.75" x14ac:dyDescent="0.25">
      <c r="A90" s="11" t="s">
        <v>221</v>
      </c>
      <c r="B90" s="36">
        <v>200021706</v>
      </c>
      <c r="C90" s="221"/>
      <c r="D90" s="221"/>
      <c r="E90" s="221"/>
      <c r="F90" s="221"/>
      <c r="G90" s="36" t="s">
        <v>174</v>
      </c>
      <c r="H90" s="36" t="s">
        <v>119</v>
      </c>
      <c r="I90" s="21">
        <f t="shared" si="16"/>
        <v>93.196987518435733</v>
      </c>
      <c r="J90" s="22">
        <f t="shared" si="17"/>
        <v>1472.97</v>
      </c>
      <c r="K90" s="116">
        <f t="shared" si="18"/>
        <v>1580.491</v>
      </c>
      <c r="L90" s="171">
        <f>+IFERROR(VLOOKUP(C90,'Nemlig Q4'!$A$2:$J$52,6,FALSE),0)</f>
        <v>0</v>
      </c>
      <c r="M90" s="171">
        <f>+IFERROR(VLOOKUP(C90,'Nemlig Q4'!$A$2:$J$52,10,FALSE),0)</f>
        <v>0</v>
      </c>
      <c r="N90" s="22">
        <f>+IFERROR(VLOOKUP(B90,'Hørkram Q4'!$B$6:$G$60,6,FALSE),"0")</f>
        <v>1456.97</v>
      </c>
      <c r="O90" s="116">
        <f>+IFERROR(VLOOKUP(B90,'Hørkram Q4'!$B$6:$G$60,5,FALSE),"0")</f>
        <v>1564.491</v>
      </c>
      <c r="P90" s="156"/>
      <c r="Q90" s="157"/>
      <c r="R90" s="111">
        <v>16</v>
      </c>
      <c r="S90" s="109">
        <v>16</v>
      </c>
      <c r="T90" s="118"/>
      <c r="U90" s="105"/>
      <c r="V90" s="130"/>
      <c r="W90" s="146"/>
      <c r="X90" s="146"/>
    </row>
    <row r="91" spans="1:38" ht="15.75" x14ac:dyDescent="0.25">
      <c r="A91" s="11" t="s">
        <v>27</v>
      </c>
      <c r="B91" s="36"/>
      <c r="C91" s="221">
        <v>2164335</v>
      </c>
      <c r="D91" s="221">
        <v>2223363</v>
      </c>
      <c r="E91" s="221"/>
      <c r="F91" s="221"/>
      <c r="G91" s="36"/>
      <c r="H91" s="36" t="s">
        <v>120</v>
      </c>
      <c r="I91" s="21">
        <f t="shared" si="16"/>
        <v>11.106122012615291</v>
      </c>
      <c r="J91" s="22">
        <f t="shared" si="17"/>
        <v>57.136000000000003</v>
      </c>
      <c r="K91" s="116">
        <f t="shared" si="18"/>
        <v>514.45500000000004</v>
      </c>
      <c r="L91" s="171">
        <f>+IFERROR(VLOOKUP(C91,'Nemlig Q4'!$A$2:$J$52,6,FALSE),0)</f>
        <v>57.136000000000003</v>
      </c>
      <c r="M91" s="171">
        <f>+IFERROR(VLOOKUP(C91,'Nemlig Q4'!$A$2:$J$52,10,FALSE),0)</f>
        <v>514.45500000000004</v>
      </c>
      <c r="N91" s="22"/>
      <c r="O91" s="116"/>
      <c r="P91" s="156"/>
      <c r="Q91" s="157"/>
      <c r="R91" s="101"/>
      <c r="S91" s="98"/>
      <c r="T91" s="118"/>
      <c r="U91" s="105"/>
      <c r="V91" s="130"/>
      <c r="W91" s="146"/>
      <c r="X91" s="146"/>
    </row>
    <row r="92" spans="1:38" x14ac:dyDescent="0.2">
      <c r="A92" s="11" t="s">
        <v>69</v>
      </c>
      <c r="B92" s="36">
        <v>200166322</v>
      </c>
      <c r="C92" s="221">
        <v>2161308</v>
      </c>
      <c r="D92" s="221"/>
      <c r="E92" s="221"/>
      <c r="F92" s="221"/>
      <c r="G92" s="36" t="s">
        <v>175</v>
      </c>
      <c r="H92" s="36" t="s">
        <v>123</v>
      </c>
      <c r="I92" s="21">
        <f t="shared" si="16"/>
        <v>9.3320630402093698</v>
      </c>
      <c r="J92" s="22">
        <f t="shared" si="17"/>
        <v>32.520000000000003</v>
      </c>
      <c r="K92" s="116">
        <f t="shared" si="18"/>
        <v>348.476</v>
      </c>
      <c r="L92" s="171">
        <f>+IFERROR(VLOOKUP(C92,'Nemlig Q4'!$A$2:$J$52,6,FALSE),0)</f>
        <v>32.520000000000003</v>
      </c>
      <c r="M92" s="171">
        <f>+IFERROR(VLOOKUP(C92,'Nemlig Q4'!$A$2:$J$52,10,FALSE),0)</f>
        <v>348.476</v>
      </c>
      <c r="N92" s="22">
        <f>+IFERROR(VLOOKUP(B92,'Hørkram Q4'!$B$6:$G$60,6,FALSE),"0")</f>
        <v>0</v>
      </c>
      <c r="O92" s="116">
        <f>+IFERROR(VLOOKUP(B92,'Hørkram Q4'!$B$6:$G$60,5,FALSE),"0")</f>
        <v>0</v>
      </c>
      <c r="P92" s="147"/>
      <c r="Q92" s="148"/>
      <c r="R92" s="101"/>
      <c r="S92" s="98"/>
      <c r="T92" s="118"/>
      <c r="U92" s="105"/>
      <c r="V92" s="130"/>
      <c r="W92" s="146"/>
      <c r="X92" s="146"/>
    </row>
    <row r="93" spans="1:38" ht="15.75" x14ac:dyDescent="0.25">
      <c r="A93" s="11" t="s">
        <v>72</v>
      </c>
      <c r="B93" s="36"/>
      <c r="C93" s="221">
        <v>2214784</v>
      </c>
      <c r="D93" s="221"/>
      <c r="E93" s="221"/>
      <c r="F93" s="221"/>
      <c r="G93" s="36" t="s">
        <v>175</v>
      </c>
      <c r="H93" s="36" t="s">
        <v>126</v>
      </c>
      <c r="I93" s="21">
        <f t="shared" si="16"/>
        <v>21.156336329976277</v>
      </c>
      <c r="J93" s="22">
        <f t="shared" si="17"/>
        <v>113.87800000000001</v>
      </c>
      <c r="K93" s="116">
        <f t="shared" si="18"/>
        <v>538.26900000000001</v>
      </c>
      <c r="L93" s="171">
        <f>+IFERROR(VLOOKUP(C93,'Nemlig Q4'!$A$2:$J$52,6,FALSE),0)</f>
        <v>70.278000000000006</v>
      </c>
      <c r="M93" s="171">
        <f>+IFERROR(VLOOKUP(C93,'Nemlig Q4'!$A$2:$J$52,10,FALSE),0)</f>
        <v>474.66899999999998</v>
      </c>
      <c r="N93" s="22"/>
      <c r="O93" s="116"/>
      <c r="P93" s="156"/>
      <c r="Q93" s="157"/>
      <c r="R93" s="101">
        <v>43.6</v>
      </c>
      <c r="S93" s="98">
        <v>63.6</v>
      </c>
      <c r="T93" s="118"/>
      <c r="U93" s="105"/>
      <c r="V93" s="130"/>
      <c r="W93" s="146"/>
      <c r="X93" s="146"/>
    </row>
    <row r="94" spans="1:38" ht="15.75" x14ac:dyDescent="0.25">
      <c r="A94" s="11" t="s">
        <v>45</v>
      </c>
      <c r="B94" s="36"/>
      <c r="C94" s="221">
        <v>1613144</v>
      </c>
      <c r="D94" s="221"/>
      <c r="E94" s="221"/>
      <c r="F94" s="221"/>
      <c r="G94" s="36" t="s">
        <v>175</v>
      </c>
      <c r="H94" s="36" t="s">
        <v>126</v>
      </c>
      <c r="I94" s="21">
        <f>IFERROR(((J94*100)/K94)," ")</f>
        <v>50.874416150706821</v>
      </c>
      <c r="J94" s="22">
        <f t="shared" si="17"/>
        <v>32.784999999999997</v>
      </c>
      <c r="K94" s="116">
        <f t="shared" si="18"/>
        <v>64.442999999999998</v>
      </c>
      <c r="L94" s="171">
        <f>+IFERROR(VLOOKUP(C94,'Nemlig Q4'!$A$2:$J$52,6,FALSE),0)</f>
        <v>10.785</v>
      </c>
      <c r="M94" s="171">
        <f>+IFERROR(VLOOKUP(C94,'Nemlig Q4'!$A$2:$J$52,10,FALSE),0)</f>
        <v>42.442999999999998</v>
      </c>
      <c r="N94" s="22"/>
      <c r="O94" s="116"/>
      <c r="P94" s="147"/>
      <c r="Q94" s="148"/>
      <c r="R94" s="111">
        <v>22</v>
      </c>
      <c r="S94" s="115">
        <v>22</v>
      </c>
      <c r="T94" s="118"/>
      <c r="U94" s="105"/>
      <c r="V94" s="130"/>
      <c r="W94" s="146"/>
      <c r="X94" s="146"/>
    </row>
    <row r="95" spans="1:38" ht="15.75" x14ac:dyDescent="0.25">
      <c r="A95" s="11" t="s">
        <v>226</v>
      </c>
      <c r="B95" s="36">
        <v>200012124</v>
      </c>
      <c r="C95" s="221">
        <v>1232086</v>
      </c>
      <c r="D95" s="221"/>
      <c r="E95" s="221"/>
      <c r="F95" s="221"/>
      <c r="G95" s="36" t="s">
        <v>174</v>
      </c>
      <c r="H95" s="36" t="s">
        <v>119</v>
      </c>
      <c r="I95" s="21">
        <f t="shared" si="16"/>
        <v>92.163513329195069</v>
      </c>
      <c r="J95" s="22">
        <f t="shared" si="17"/>
        <v>2648.7719999999999</v>
      </c>
      <c r="K95" s="116">
        <f t="shared" si="18"/>
        <v>2873.9920000000002</v>
      </c>
      <c r="L95" s="171">
        <f>+IFERROR(VLOOKUP(C95,'Nemlig Q4'!$A$2:$J$52,6,FALSE),0)</f>
        <v>0.18</v>
      </c>
      <c r="M95" s="171">
        <f>+IFERROR(VLOOKUP(C95,'Nemlig Q4'!$A$2:$J$52,10,FALSE),0)</f>
        <v>2.1520000000000001</v>
      </c>
      <c r="N95" s="22">
        <f>+IFERROR(VLOOKUP(B95,'Hørkram Q4'!$B$6:$G$60,6,FALSE),"0")</f>
        <v>2643.192</v>
      </c>
      <c r="O95" s="116">
        <f>+IFERROR(VLOOKUP(B95,'Hørkram Q4'!$B$6:$G$60,5,FALSE),"0")</f>
        <v>2866.44</v>
      </c>
      <c r="P95" s="158"/>
      <c r="Q95" s="157"/>
      <c r="R95" s="111">
        <v>5.4</v>
      </c>
      <c r="S95" s="109">
        <v>5.4</v>
      </c>
      <c r="T95" s="118"/>
      <c r="U95" s="105"/>
      <c r="V95" s="130"/>
      <c r="W95" s="146"/>
      <c r="X95" s="146"/>
    </row>
    <row r="96" spans="1:38" ht="15.75" x14ac:dyDescent="0.25">
      <c r="A96" s="11" t="s">
        <v>181</v>
      </c>
      <c r="B96" s="36"/>
      <c r="C96" s="221">
        <v>1136302</v>
      </c>
      <c r="D96" s="221"/>
      <c r="E96" s="221"/>
      <c r="F96" s="221"/>
      <c r="G96" s="36"/>
      <c r="H96" s="36" t="s">
        <v>120</v>
      </c>
      <c r="I96" s="21">
        <f t="shared" si="16"/>
        <v>51.819017244175356</v>
      </c>
      <c r="J96" s="22">
        <f t="shared" si="17"/>
        <v>239.65</v>
      </c>
      <c r="K96" s="116">
        <f t="shared" si="18"/>
        <v>462.47500000000002</v>
      </c>
      <c r="L96" s="171">
        <f>+IFERROR(VLOOKUP(C96,'Nemlig Q4'!$A$2:$J$52,6,FALSE),0)</f>
        <v>239.65</v>
      </c>
      <c r="M96" s="171">
        <f>+IFERROR(VLOOKUP(C96,'Nemlig Q4'!$A$2:$J$52,10,FALSE),0)</f>
        <v>462.47500000000002</v>
      </c>
      <c r="N96" s="22"/>
      <c r="O96" s="116"/>
      <c r="P96" s="156"/>
      <c r="Q96" s="157"/>
      <c r="R96" s="101"/>
      <c r="S96" s="98"/>
      <c r="T96" s="118"/>
      <c r="U96" s="105"/>
      <c r="V96" s="130"/>
      <c r="W96" s="146"/>
      <c r="X96" s="146"/>
    </row>
    <row r="97" spans="1:38" ht="15.75" x14ac:dyDescent="0.25">
      <c r="A97" s="11" t="s">
        <v>103</v>
      </c>
      <c r="B97" s="36">
        <v>200031620</v>
      </c>
      <c r="C97" s="221"/>
      <c r="D97" s="221"/>
      <c r="E97" s="221"/>
      <c r="F97" s="221"/>
      <c r="G97" s="36" t="s">
        <v>174</v>
      </c>
      <c r="H97" s="36" t="s">
        <v>122</v>
      </c>
      <c r="I97" s="21">
        <f t="shared" si="16"/>
        <v>87.233490057281443</v>
      </c>
      <c r="J97" s="22">
        <f t="shared" si="17"/>
        <v>853.27700000000004</v>
      </c>
      <c r="K97" s="116">
        <f t="shared" si="18"/>
        <v>978.15300000000002</v>
      </c>
      <c r="L97" s="171">
        <f>+IFERROR(VLOOKUP(C97,'Nemlig Q4'!$A$2:$J$52,6,FALSE),0)</f>
        <v>0</v>
      </c>
      <c r="M97" s="171">
        <f>+IFERROR(VLOOKUP(C97,'Nemlig Q4'!$A$2:$J$52,10,FALSE),0)</f>
        <v>0</v>
      </c>
      <c r="N97" s="22">
        <f>+IFERROR(VLOOKUP(B97,'Hørkram Q4'!$B$6:$G$60,6,FALSE),"0")</f>
        <v>789.27700000000004</v>
      </c>
      <c r="O97" s="116">
        <f>+IFERROR(VLOOKUP(B97,'Hørkram Q4'!$B$6:$G$60,5,FALSE),"0")</f>
        <v>864.15300000000002</v>
      </c>
      <c r="P97" s="156"/>
      <c r="Q97" s="157"/>
      <c r="R97" s="101">
        <v>64</v>
      </c>
      <c r="S97" s="98">
        <v>114</v>
      </c>
      <c r="T97" s="22"/>
      <c r="U97" s="98"/>
      <c r="V97" s="130"/>
      <c r="W97" s="146"/>
      <c r="X97" s="146"/>
    </row>
    <row r="98" spans="1:38" ht="15.75" x14ac:dyDescent="0.25">
      <c r="A98" s="11" t="s">
        <v>211</v>
      </c>
      <c r="B98" s="36"/>
      <c r="C98" s="221">
        <v>1098703</v>
      </c>
      <c r="D98" s="221"/>
      <c r="E98" s="221"/>
      <c r="F98" s="221"/>
      <c r="G98" s="36" t="s">
        <v>175</v>
      </c>
      <c r="H98" s="36" t="s">
        <v>123</v>
      </c>
      <c r="I98" s="21">
        <f t="shared" ref="I98:I115" si="23">(J98*100)/K98</f>
        <v>12.179740705728012</v>
      </c>
      <c r="J98" s="22">
        <f t="shared" ref="J98:J114" si="24">+L98+N98+P98+R98+T98</f>
        <v>50.505000000000003</v>
      </c>
      <c r="K98" s="116">
        <f t="shared" ref="K98:K114" si="25">+M98+O98+Q98+S98+U98</f>
        <v>414.66399999999999</v>
      </c>
      <c r="L98" s="171">
        <f>+IFERROR(VLOOKUP(C98,'Nemlig Q4'!$A$2:$J$52,6,FALSE),0)</f>
        <v>50.505000000000003</v>
      </c>
      <c r="M98" s="171">
        <f>+IFERROR(VLOOKUP(C98,'Nemlig Q4'!$A$2:$J$52,10,FALSE),0)</f>
        <v>414.66399999999999</v>
      </c>
      <c r="N98" s="22"/>
      <c r="O98" s="116"/>
      <c r="P98" s="156"/>
      <c r="Q98" s="157"/>
      <c r="R98" s="101"/>
      <c r="S98" s="98"/>
      <c r="T98" s="118"/>
      <c r="U98" s="105"/>
    </row>
    <row r="99" spans="1:38" x14ac:dyDescent="0.25">
      <c r="A99" s="11" t="s">
        <v>28</v>
      </c>
      <c r="B99" s="36"/>
      <c r="C99" s="221">
        <v>1174958</v>
      </c>
      <c r="D99" s="221"/>
      <c r="E99" s="221"/>
      <c r="F99" s="221"/>
      <c r="G99" s="36" t="s">
        <v>175</v>
      </c>
      <c r="H99" s="36" t="s">
        <v>121</v>
      </c>
      <c r="I99" s="21" t="str">
        <f>IFERROR(((J99*100)/K99)," ")</f>
        <v xml:space="preserve"> </v>
      </c>
      <c r="J99" s="22">
        <f t="shared" si="24"/>
        <v>0</v>
      </c>
      <c r="K99" s="116">
        <f t="shared" si="25"/>
        <v>0</v>
      </c>
      <c r="L99" s="171">
        <f>+IFERROR(VLOOKUP(C99,'Nemlig Q4'!$A$2:$J$52,6,FALSE),0)</f>
        <v>0</v>
      </c>
      <c r="M99" s="171">
        <f>+IFERROR(VLOOKUP(C99,'Nemlig Q4'!$A$2:$J$52,10,FALSE),0)</f>
        <v>0</v>
      </c>
      <c r="N99" s="22"/>
      <c r="O99" s="116"/>
      <c r="P99" s="147"/>
      <c r="Q99" s="148"/>
      <c r="R99" s="101"/>
      <c r="S99" s="98"/>
      <c r="T99" s="118"/>
      <c r="U99" s="105"/>
    </row>
    <row r="100" spans="1:38" ht="15.75" x14ac:dyDescent="0.25">
      <c r="A100" s="11" t="s">
        <v>91</v>
      </c>
      <c r="B100" s="36">
        <v>200031514</v>
      </c>
      <c r="C100" s="221"/>
      <c r="D100" s="221"/>
      <c r="E100" s="221"/>
      <c r="F100" s="221"/>
      <c r="G100" s="36" t="s">
        <v>174</v>
      </c>
      <c r="H100" s="36" t="s">
        <v>124</v>
      </c>
      <c r="I100" s="21">
        <f t="shared" si="23"/>
        <v>61.820624713199614</v>
      </c>
      <c r="J100" s="22">
        <f t="shared" si="24"/>
        <v>1459.0229999999999</v>
      </c>
      <c r="K100" s="116">
        <f t="shared" si="25"/>
        <v>2360.0909999999999</v>
      </c>
      <c r="L100" s="171">
        <f>+IFERROR(VLOOKUP(C100,'Nemlig Q4'!$A$2:$J$52,6,FALSE),0)</f>
        <v>0</v>
      </c>
      <c r="M100" s="171">
        <f>+IFERROR(VLOOKUP(C100,'Nemlig Q4'!$A$2:$J$52,10,FALSE),0)</f>
        <v>0</v>
      </c>
      <c r="N100" s="22">
        <f>+IFERROR(VLOOKUP(B100,'Hørkram Q4'!$B$6:$G$60,6,FALSE),"0")</f>
        <v>1399.0229999999999</v>
      </c>
      <c r="O100" s="116">
        <f>+IFERROR(VLOOKUP(B100,'Hørkram Q4'!$B$6:$G$60,5,FALSE),"0")</f>
        <v>2300.0909999999999</v>
      </c>
      <c r="P100" s="156"/>
      <c r="Q100" s="157"/>
      <c r="R100" s="111">
        <v>60</v>
      </c>
      <c r="S100" s="109">
        <v>60</v>
      </c>
      <c r="T100" s="118"/>
      <c r="U100" s="105"/>
    </row>
    <row r="101" spans="1:38" ht="15.75" x14ac:dyDescent="0.25">
      <c r="A101" s="11" t="s">
        <v>92</v>
      </c>
      <c r="B101" s="36"/>
      <c r="C101" s="221">
        <v>1218014</v>
      </c>
      <c r="D101" s="221"/>
      <c r="E101" s="221"/>
      <c r="F101" s="221"/>
      <c r="G101" s="36" t="s">
        <v>175</v>
      </c>
      <c r="H101" s="36" t="s">
        <v>121</v>
      </c>
      <c r="I101" s="21">
        <f t="shared" si="23"/>
        <v>41.381819305902503</v>
      </c>
      <c r="J101" s="22">
        <f t="shared" si="24"/>
        <v>1070.9469999999999</v>
      </c>
      <c r="K101" s="116">
        <f t="shared" si="25"/>
        <v>2587.9650000000001</v>
      </c>
      <c r="L101" s="171">
        <f>+IFERROR(VLOOKUP(C101,'Nemlig Q4'!$A$2:$J$52,6,FALSE),0)</f>
        <v>1070.9469999999999</v>
      </c>
      <c r="M101" s="171">
        <f>+IFERROR(VLOOKUP(C101,'Nemlig Q4'!$A$2:$J$52,10,FALSE),0)</f>
        <v>2587.9650000000001</v>
      </c>
      <c r="N101" s="22"/>
      <c r="O101" s="116"/>
      <c r="P101" s="156"/>
      <c r="Q101" s="157"/>
      <c r="R101" s="101"/>
      <c r="S101" s="110"/>
      <c r="T101" s="118"/>
      <c r="U101" s="105"/>
    </row>
    <row r="102" spans="1:38" ht="15.75" x14ac:dyDescent="0.25">
      <c r="A102" s="11" t="s">
        <v>35</v>
      </c>
      <c r="B102" s="36">
        <v>200536224</v>
      </c>
      <c r="C102" s="221"/>
      <c r="D102" s="221"/>
      <c r="E102" s="221"/>
      <c r="F102" s="221"/>
      <c r="G102" s="36" t="s">
        <v>174</v>
      </c>
      <c r="H102" s="36" t="s">
        <v>124</v>
      </c>
      <c r="I102" s="21">
        <f t="shared" si="23"/>
        <v>61.295170002926305</v>
      </c>
      <c r="J102" s="22">
        <f t="shared" si="24"/>
        <v>1395.018</v>
      </c>
      <c r="K102" s="116">
        <f t="shared" si="25"/>
        <v>2275.902</v>
      </c>
      <c r="L102" s="171">
        <f>+IFERROR(VLOOKUP(C102,'Nemlig Q4'!$A$2:$J$52,6,FALSE),0)</f>
        <v>0</v>
      </c>
      <c r="M102" s="171">
        <f>+IFERROR(VLOOKUP(C102,'Nemlig Q4'!$A$2:$J$52,10,FALSE),0)</f>
        <v>0</v>
      </c>
      <c r="N102" s="22">
        <f>+IFERROR(VLOOKUP(B102,'Hørkram Q4'!$B$6:$G$60,6,FALSE),"0")</f>
        <v>1363.018</v>
      </c>
      <c r="O102" s="116">
        <f>+IFERROR(VLOOKUP(B102,'Hørkram Q4'!$B$6:$G$60,5,FALSE),"0")</f>
        <v>2230.462</v>
      </c>
      <c r="P102" s="156"/>
      <c r="Q102" s="157"/>
      <c r="R102" s="111">
        <v>32</v>
      </c>
      <c r="S102" s="109">
        <v>45.44</v>
      </c>
      <c r="T102" s="118"/>
      <c r="U102" s="105"/>
    </row>
    <row r="103" spans="1:38" ht="15.75" x14ac:dyDescent="0.25">
      <c r="A103" s="11" t="s">
        <v>117</v>
      </c>
      <c r="B103" s="36" t="s">
        <v>108</v>
      </c>
      <c r="C103" s="221"/>
      <c r="D103" s="221"/>
      <c r="E103" s="221"/>
      <c r="F103" s="221"/>
      <c r="G103" s="36" t="s">
        <v>174</v>
      </c>
      <c r="H103" s="36" t="s">
        <v>120</v>
      </c>
      <c r="I103" s="21">
        <f t="shared" si="23"/>
        <v>65.73285065486742</v>
      </c>
      <c r="J103" s="22">
        <f t="shared" si="24"/>
        <v>877.38499999999999</v>
      </c>
      <c r="K103" s="116">
        <f t="shared" si="25"/>
        <v>1334.7739999999999</v>
      </c>
      <c r="L103" s="171">
        <f>+IFERROR(VLOOKUP(C103,'Nemlig Q4'!$A$2:$J$52,6,FALSE),0)</f>
        <v>0</v>
      </c>
      <c r="M103" s="171">
        <f>+IFERROR(VLOOKUP(C103,'Nemlig Q4'!$A$2:$J$52,10,FALSE),0)</f>
        <v>0</v>
      </c>
      <c r="N103" s="22">
        <f>+'Hørkram Q4'!G47+'Hørkram Q4'!G48</f>
        <v>853.38499999999999</v>
      </c>
      <c r="O103" s="116">
        <f>+'Hørkram Q4'!F47+'Hørkram Q4'!F48</f>
        <v>1310.7739999999999</v>
      </c>
      <c r="P103" s="147"/>
      <c r="Q103" s="148"/>
      <c r="R103" s="111">
        <v>24</v>
      </c>
      <c r="S103" s="109">
        <v>24</v>
      </c>
      <c r="T103" s="118"/>
      <c r="U103" s="105"/>
    </row>
    <row r="104" spans="1:38" ht="15.75" x14ac:dyDescent="0.25">
      <c r="A104" s="11" t="s">
        <v>70</v>
      </c>
      <c r="B104" s="36"/>
      <c r="C104" s="221">
        <v>1096809</v>
      </c>
      <c r="D104" s="221"/>
      <c r="E104" s="221"/>
      <c r="F104" s="221"/>
      <c r="G104" s="36" t="s">
        <v>175</v>
      </c>
      <c r="H104" s="36" t="s">
        <v>126</v>
      </c>
      <c r="I104" s="21">
        <f t="shared" si="23"/>
        <v>18.8887295441146</v>
      </c>
      <c r="J104" s="22">
        <f t="shared" si="24"/>
        <v>11.853999999999999</v>
      </c>
      <c r="K104" s="116">
        <f t="shared" si="25"/>
        <v>62.756999999999998</v>
      </c>
      <c r="L104" s="171">
        <f>+IFERROR(VLOOKUP(C104,'Nemlig Q4'!$A$2:$J$52,6,FALSE),0)</f>
        <v>11.853999999999999</v>
      </c>
      <c r="M104" s="171">
        <f>+IFERROR(VLOOKUP(C104,'Nemlig Q4'!$A$2:$J$52,10,FALSE),0)</f>
        <v>62.756999999999998</v>
      </c>
      <c r="N104" s="22"/>
      <c r="O104" s="116"/>
      <c r="P104" s="156"/>
      <c r="Q104" s="157"/>
      <c r="R104" s="111"/>
      <c r="S104" s="109"/>
      <c r="T104" s="118"/>
      <c r="U104" s="105"/>
    </row>
    <row r="105" spans="1:38" x14ac:dyDescent="0.25">
      <c r="A105" s="11" t="s">
        <v>71</v>
      </c>
      <c r="B105" s="36"/>
      <c r="C105" s="221">
        <v>1216525</v>
      </c>
      <c r="D105" s="221"/>
      <c r="E105" s="221"/>
      <c r="F105" s="221"/>
      <c r="G105" s="36" t="s">
        <v>175</v>
      </c>
      <c r="H105" s="36" t="s">
        <v>123</v>
      </c>
      <c r="I105" s="21">
        <f t="shared" si="23"/>
        <v>14.320975771810726</v>
      </c>
      <c r="J105" s="22">
        <f t="shared" si="24"/>
        <v>92.251000000000005</v>
      </c>
      <c r="K105" s="116">
        <f t="shared" si="25"/>
        <v>644.16700000000003</v>
      </c>
      <c r="L105" s="171">
        <f>+IFERROR(VLOOKUP(C105,'Nemlig Q4'!$A$2:$J$52,6,FALSE),0)</f>
        <v>92.251000000000005</v>
      </c>
      <c r="M105" s="171">
        <f>+IFERROR(VLOOKUP(C105,'Nemlig Q4'!$A$2:$J$52,10,FALSE),0)</f>
        <v>644.16700000000003</v>
      </c>
      <c r="N105" s="22"/>
      <c r="O105" s="116"/>
      <c r="P105" s="147"/>
      <c r="Q105" s="148"/>
      <c r="R105" s="101"/>
      <c r="S105" s="98"/>
      <c r="T105" s="118"/>
      <c r="U105" s="105"/>
    </row>
    <row r="106" spans="1:38" ht="15.75" x14ac:dyDescent="0.25">
      <c r="A106" s="11" t="s">
        <v>93</v>
      </c>
      <c r="B106" s="36"/>
      <c r="C106" s="221">
        <v>1199339</v>
      </c>
      <c r="D106" s="221">
        <v>1573820</v>
      </c>
      <c r="E106" s="221"/>
      <c r="F106" s="221"/>
      <c r="G106" s="36" t="s">
        <v>175</v>
      </c>
      <c r="H106" s="36" t="s">
        <v>126</v>
      </c>
      <c r="I106" s="21">
        <f t="shared" si="23"/>
        <v>48.970407957419738</v>
      </c>
      <c r="J106" s="22">
        <f t="shared" si="24"/>
        <v>94.674000000000007</v>
      </c>
      <c r="K106" s="116">
        <f t="shared" si="25"/>
        <v>193.32900000000001</v>
      </c>
      <c r="L106" s="171">
        <f>+IFERROR(VLOOKUP(C106,'Nemlig Q4'!$A$2:$J$52,6,FALSE),0)+'Nemlig Q4'!F22</f>
        <v>37.314</v>
      </c>
      <c r="M106" s="171">
        <f>+IFERROR(VLOOKUP(C106,'Nemlig Q4'!$A$2:$J$52,10,FALSE),0)+'Nemlig Q4'!J22</f>
        <v>193.32900000000001</v>
      </c>
      <c r="N106" s="22"/>
      <c r="O106" s="116"/>
      <c r="P106" s="156"/>
      <c r="Q106" s="157"/>
      <c r="R106" s="101">
        <v>57.36</v>
      </c>
      <c r="S106" s="98"/>
      <c r="T106" s="118"/>
      <c r="U106" s="105"/>
    </row>
    <row r="107" spans="1:38" s="5" customFormat="1" x14ac:dyDescent="0.25">
      <c r="A107" s="11" t="s">
        <v>63</v>
      </c>
      <c r="B107" s="36"/>
      <c r="C107" s="221">
        <v>1839601</v>
      </c>
      <c r="D107" s="221"/>
      <c r="E107" s="221"/>
      <c r="F107" s="221"/>
      <c r="G107" s="36" t="s">
        <v>175</v>
      </c>
      <c r="H107" s="36" t="s">
        <v>121</v>
      </c>
      <c r="I107" s="21">
        <f t="shared" si="23"/>
        <v>37.395495038389932</v>
      </c>
      <c r="J107" s="22">
        <f t="shared" si="24"/>
        <v>211.52499999999998</v>
      </c>
      <c r="K107" s="116">
        <f t="shared" si="25"/>
        <v>565.64300000000003</v>
      </c>
      <c r="L107" s="171">
        <f>+IFERROR(VLOOKUP(C107,'Nemlig Q4'!$A$2:$J$52,6,FALSE),0)</f>
        <v>154.16499999999999</v>
      </c>
      <c r="M107" s="171">
        <f>+IFERROR(VLOOKUP(C107,'Nemlig Q4'!$A$2:$J$52,10,FALSE),0)</f>
        <v>565.64300000000003</v>
      </c>
      <c r="N107" s="22"/>
      <c r="O107" s="116"/>
      <c r="P107" s="147"/>
      <c r="Q107" s="148"/>
      <c r="R107" s="101">
        <v>57.36</v>
      </c>
      <c r="S107" s="98"/>
      <c r="T107" s="119"/>
      <c r="U107" s="106"/>
      <c r="V107" s="4"/>
      <c r="W107" s="4"/>
      <c r="X107" s="4"/>
    </row>
    <row r="108" spans="1:38" s="5" customFormat="1" x14ac:dyDescent="0.25">
      <c r="A108" s="11" t="s">
        <v>86</v>
      </c>
      <c r="B108" s="36"/>
      <c r="C108" s="221">
        <v>1123703</v>
      </c>
      <c r="D108" s="221"/>
      <c r="E108" s="221"/>
      <c r="F108" s="221"/>
      <c r="G108" s="36" t="s">
        <v>174</v>
      </c>
      <c r="H108" s="36" t="s">
        <v>120</v>
      </c>
      <c r="I108" s="21">
        <f t="shared" si="23"/>
        <v>22.131386059790813</v>
      </c>
      <c r="J108" s="22">
        <f t="shared" si="24"/>
        <v>80.617999999999995</v>
      </c>
      <c r="K108" s="116">
        <f t="shared" si="25"/>
        <v>364.27</v>
      </c>
      <c r="L108" s="171">
        <f>+IFERROR(VLOOKUP(C108,'Nemlig Q4'!$A$2:$J$52,6,FALSE),0)</f>
        <v>80.617999999999995</v>
      </c>
      <c r="M108" s="171">
        <f>+IFERROR(VLOOKUP(C108,'Nemlig Q4'!$A$2:$J$52,10,FALSE),0)</f>
        <v>364.27</v>
      </c>
      <c r="N108" s="22"/>
      <c r="O108" s="116"/>
      <c r="P108" s="147"/>
      <c r="Q108" s="148"/>
      <c r="R108" s="101"/>
      <c r="S108" s="98"/>
      <c r="T108" s="119"/>
      <c r="U108" s="106"/>
      <c r="V108" s="4"/>
      <c r="W108" s="4"/>
      <c r="X108" s="4"/>
    </row>
    <row r="109" spans="1:38" s="5" customFormat="1" x14ac:dyDescent="0.25">
      <c r="A109" s="11" t="s">
        <v>87</v>
      </c>
      <c r="B109" s="36">
        <v>200033969</v>
      </c>
      <c r="C109" s="221">
        <v>2167011</v>
      </c>
      <c r="D109" s="221"/>
      <c r="E109" s="221"/>
      <c r="F109" s="221"/>
      <c r="G109" s="36" t="s">
        <v>174</v>
      </c>
      <c r="H109" s="36" t="s">
        <v>120</v>
      </c>
      <c r="I109" s="21">
        <f t="shared" si="23"/>
        <v>5.113134134650049</v>
      </c>
      <c r="J109" s="22">
        <f t="shared" si="24"/>
        <v>76.587999999999994</v>
      </c>
      <c r="K109" s="116">
        <f t="shared" si="25"/>
        <v>1497.8679999999999</v>
      </c>
      <c r="L109" s="171">
        <f>+IFERROR(VLOOKUP(C109,'Nemlig Q4'!$A$2:$J$52,6,FALSE),0)</f>
        <v>76.587999999999994</v>
      </c>
      <c r="M109" s="171">
        <f>+IFERROR(VLOOKUP(C109,'Nemlig Q4'!$A$2:$J$52,10,FALSE),0)</f>
        <v>1497.8679999999999</v>
      </c>
      <c r="N109" s="22"/>
      <c r="O109" s="116"/>
      <c r="P109" s="147"/>
      <c r="Q109" s="148"/>
      <c r="R109" s="101"/>
      <c r="S109" s="98"/>
      <c r="T109" s="118"/>
      <c r="U109" s="105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</row>
    <row r="110" spans="1:38" ht="15.75" x14ac:dyDescent="0.25">
      <c r="A110" s="11" t="s">
        <v>183</v>
      </c>
      <c r="B110" s="36"/>
      <c r="C110" s="221">
        <v>2144619</v>
      </c>
      <c r="D110" s="221"/>
      <c r="E110" s="221"/>
      <c r="F110" s="221"/>
      <c r="G110" s="36" t="s">
        <v>175</v>
      </c>
      <c r="H110" s="36" t="s">
        <v>121</v>
      </c>
      <c r="I110" s="21">
        <f t="shared" si="23"/>
        <v>40.545672757691555</v>
      </c>
      <c r="J110" s="22">
        <f t="shared" si="24"/>
        <v>326.685</v>
      </c>
      <c r="K110" s="116">
        <f t="shared" si="25"/>
        <v>805.721</v>
      </c>
      <c r="L110" s="171">
        <f>+IFERROR(VLOOKUP(C110,'Nemlig Q4'!$A$2:$J$52,6,FALSE),0)</f>
        <v>326.685</v>
      </c>
      <c r="M110" s="171">
        <f>+IFERROR(VLOOKUP(C110,'Nemlig Q4'!$A$2:$J$52,10,FALSE),0)</f>
        <v>805.721</v>
      </c>
      <c r="N110" s="22"/>
      <c r="O110" s="116"/>
      <c r="P110" s="156"/>
      <c r="Q110" s="157"/>
      <c r="R110" s="101"/>
      <c r="S110" s="98"/>
      <c r="T110" s="119"/>
      <c r="U110" s="106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</row>
    <row r="111" spans="1:38" s="5" customFormat="1" ht="15.75" x14ac:dyDescent="0.25">
      <c r="A111" s="11" t="s">
        <v>212</v>
      </c>
      <c r="B111" s="36"/>
      <c r="C111" s="221"/>
      <c r="D111" s="221"/>
      <c r="E111" s="221"/>
      <c r="F111" s="221"/>
      <c r="G111" s="36" t="s">
        <v>175</v>
      </c>
      <c r="H111" s="36" t="s">
        <v>126</v>
      </c>
      <c r="I111" s="21"/>
      <c r="J111" s="22">
        <f t="shared" si="24"/>
        <v>0</v>
      </c>
      <c r="K111" s="116">
        <f t="shared" si="25"/>
        <v>0</v>
      </c>
      <c r="L111" s="171">
        <f>+IFERROR(VLOOKUP(C111,'Nemlig Q4'!$A$2:$J$52,6,FALSE),0)</f>
        <v>0</v>
      </c>
      <c r="M111" s="171">
        <f>+IFERROR(VLOOKUP(C111,'Nemlig Q4'!$A$2:$J$52,10,FALSE),0)</f>
        <v>0</v>
      </c>
      <c r="N111" s="22"/>
      <c r="O111" s="116"/>
      <c r="P111" s="156"/>
      <c r="Q111" s="157"/>
      <c r="R111" s="111"/>
      <c r="S111" s="109"/>
      <c r="T111" s="119"/>
      <c r="U111" s="106"/>
      <c r="V111" s="4"/>
      <c r="W111" s="4"/>
      <c r="X111" s="4"/>
    </row>
    <row r="112" spans="1:38" s="5" customFormat="1" ht="15.75" x14ac:dyDescent="0.25">
      <c r="A112" s="11" t="s">
        <v>213</v>
      </c>
      <c r="B112" s="36"/>
      <c r="C112" s="221">
        <v>1004359</v>
      </c>
      <c r="D112" s="221">
        <v>2230005</v>
      </c>
      <c r="E112" s="221">
        <v>2231699</v>
      </c>
      <c r="F112" s="221">
        <v>1380376</v>
      </c>
      <c r="G112" s="36" t="s">
        <v>175</v>
      </c>
      <c r="H112" s="36" t="s">
        <v>123</v>
      </c>
      <c r="I112" s="21">
        <f t="shared" si="23"/>
        <v>23.523911264783994</v>
      </c>
      <c r="J112" s="22">
        <f t="shared" si="24"/>
        <v>86.54</v>
      </c>
      <c r="K112" s="116">
        <f t="shared" si="25"/>
        <v>367.88099999999997</v>
      </c>
      <c r="L112" s="171">
        <f>+IFERROR(VLOOKUP(C112,'Nemlig Q4'!$A$2:$J$52,6,FALSE),0)</f>
        <v>86.54</v>
      </c>
      <c r="M112" s="171">
        <f>+IFERROR(VLOOKUP(C112,'Nemlig Q4'!$A$2:$J$52,10,FALSE),0)</f>
        <v>367.88099999999997</v>
      </c>
      <c r="N112" s="22"/>
      <c r="O112" s="116"/>
      <c r="P112" s="147"/>
      <c r="Q112" s="148"/>
      <c r="R112" s="151"/>
      <c r="S112" s="109"/>
      <c r="T112" s="119"/>
      <c r="U112" s="106"/>
      <c r="V112" s="4"/>
      <c r="W112" s="4"/>
      <c r="X112" s="4"/>
    </row>
    <row r="113" spans="1:24" ht="15.75" x14ac:dyDescent="0.25">
      <c r="A113" s="11" t="s">
        <v>80</v>
      </c>
      <c r="B113" s="36">
        <v>200023854</v>
      </c>
      <c r="C113" s="221"/>
      <c r="D113" s="221"/>
      <c r="E113" s="221"/>
      <c r="F113" s="221"/>
      <c r="G113" s="36" t="s">
        <v>174</v>
      </c>
      <c r="H113" s="36" t="s">
        <v>121</v>
      </c>
      <c r="I113" s="21">
        <f t="shared" si="23"/>
        <v>49.076669251456018</v>
      </c>
      <c r="J113" s="22">
        <f t="shared" si="24"/>
        <v>1487.2930000000001</v>
      </c>
      <c r="K113" s="116">
        <f t="shared" si="25"/>
        <v>3030.5499999999997</v>
      </c>
      <c r="L113" s="171">
        <f>+IFERROR(VLOOKUP(C113,'Nemlig Q4'!$A$2:$J$52,6,FALSE),0)</f>
        <v>0</v>
      </c>
      <c r="M113" s="171">
        <f>+IFERROR(VLOOKUP(C113,'Nemlig Q4'!$A$2:$J$52,10,FALSE),0)</f>
        <v>0</v>
      </c>
      <c r="N113" s="22">
        <f>+IFERROR(VLOOKUP(B113,'Hørkram Q4'!$B$6:$G$60,6,FALSE),"0")</f>
        <v>1385.0530000000001</v>
      </c>
      <c r="O113" s="116">
        <f>+IFERROR(VLOOKUP(B113,'Hørkram Q4'!$B$6:$G$60,5,FALSE),"0")</f>
        <v>2564.192</v>
      </c>
      <c r="P113" s="147"/>
      <c r="Q113" s="148"/>
      <c r="R113" s="111">
        <v>61</v>
      </c>
      <c r="S113" s="109">
        <v>85.778000000000006</v>
      </c>
      <c r="T113" s="119">
        <f>8.51+5.07+5.22+6.44+16</f>
        <v>41.24</v>
      </c>
      <c r="U113" s="98">
        <f>25.24+16+12+327.34</f>
        <v>380.58</v>
      </c>
    </row>
    <row r="114" spans="1:24" ht="15.75" thickBot="1" x14ac:dyDescent="0.3">
      <c r="A114" s="137" t="s">
        <v>21</v>
      </c>
      <c r="B114" s="138">
        <v>200541495</v>
      </c>
      <c r="C114" s="37"/>
      <c r="D114" s="37"/>
      <c r="E114" s="37"/>
      <c r="F114" s="37"/>
      <c r="G114" s="37" t="s">
        <v>174</v>
      </c>
      <c r="H114" s="37" t="s">
        <v>119</v>
      </c>
      <c r="I114" s="139">
        <f t="shared" si="23"/>
        <v>96.209282171086898</v>
      </c>
      <c r="J114" s="139">
        <f t="shared" si="24"/>
        <v>1619.69</v>
      </c>
      <c r="K114" s="112">
        <f t="shared" si="25"/>
        <v>1683.5070000000001</v>
      </c>
      <c r="L114" s="171">
        <f>+IFERROR(VLOOKUP(C114,'Nemlig Q4'!$A$2:$J$52,6,FALSE),0)</f>
        <v>0</v>
      </c>
      <c r="M114" s="149"/>
      <c r="N114" s="139">
        <f>+IFERROR(VLOOKUP(B114,'Hørkram Q4'!$B$6:$G$60,6,FALSE),"0")</f>
        <v>1609.89</v>
      </c>
      <c r="O114" s="112">
        <f>+IFERROR(VLOOKUP(B114,'Hørkram Q4'!$B$6:$G$60,5,FALSE),"0")</f>
        <v>1673.7070000000001</v>
      </c>
      <c r="P114" s="147"/>
      <c r="Q114" s="148"/>
      <c r="R114" s="152">
        <v>9.8000000000000007</v>
      </c>
      <c r="S114" s="104">
        <v>9.8000000000000007</v>
      </c>
      <c r="T114" s="126"/>
      <c r="U114" s="108"/>
    </row>
    <row r="115" spans="1:24" s="5" customFormat="1" ht="15.75" thickBot="1" x14ac:dyDescent="0.3">
      <c r="A115" s="140" t="s">
        <v>60</v>
      </c>
      <c r="B115" s="141"/>
      <c r="C115" s="141"/>
      <c r="D115" s="141"/>
      <c r="E115" s="141"/>
      <c r="F115" s="141"/>
      <c r="G115" s="141"/>
      <c r="H115" s="141"/>
      <c r="I115" s="142">
        <f t="shared" si="23"/>
        <v>66.410519588557662</v>
      </c>
      <c r="J115" s="143">
        <f>L115+N115+P115+R115+T115</f>
        <v>82321.204999999987</v>
      </c>
      <c r="K115" s="144">
        <f t="shared" ref="K115" si="26">M115+O115+Q115+S115+U115</f>
        <v>123958.08000000002</v>
      </c>
      <c r="L115" s="153">
        <f t="shared" ref="L115:U115" si="27">SUM(L5:L114)</f>
        <v>6658.5560000000023</v>
      </c>
      <c r="M115" s="154">
        <f t="shared" si="27"/>
        <v>20175.584000000003</v>
      </c>
      <c r="N115" s="136">
        <f t="shared" si="27"/>
        <v>73374.123999999996</v>
      </c>
      <c r="O115" s="144">
        <f t="shared" si="27"/>
        <v>100317.531</v>
      </c>
      <c r="P115" s="162">
        <f t="shared" si="27"/>
        <v>0</v>
      </c>
      <c r="Q115" s="136">
        <f t="shared" si="27"/>
        <v>427.85399999999998</v>
      </c>
      <c r="R115" s="155">
        <f t="shared" si="27"/>
        <v>2148.4299999999998</v>
      </c>
      <c r="S115" s="142">
        <f t="shared" si="27"/>
        <v>2530.2759999999994</v>
      </c>
      <c r="T115" s="145">
        <f t="shared" si="27"/>
        <v>140.095</v>
      </c>
      <c r="U115" s="136">
        <f t="shared" si="27"/>
        <v>506.83499999999998</v>
      </c>
      <c r="V115" s="4"/>
      <c r="W115" s="4"/>
      <c r="X115" s="4"/>
    </row>
    <row r="116" spans="1:24" x14ac:dyDescent="0.25">
      <c r="A116" s="5"/>
      <c r="B116" s="82"/>
      <c r="C116" s="82"/>
      <c r="D116" s="82"/>
      <c r="E116" s="82"/>
      <c r="F116" s="82"/>
      <c r="G116" s="82"/>
      <c r="H116" s="38"/>
      <c r="I116" s="2"/>
      <c r="K116" s="99"/>
      <c r="L116" s="100"/>
      <c r="M116" s="100"/>
      <c r="N116" s="99"/>
      <c r="O116" s="99"/>
      <c r="R116" s="100"/>
      <c r="S116" s="100"/>
    </row>
    <row r="117" spans="1:24" x14ac:dyDescent="0.25">
      <c r="A117" s="25"/>
      <c r="B117" s="82"/>
      <c r="C117" s="82"/>
      <c r="D117" s="82"/>
      <c r="E117" s="82"/>
      <c r="F117" s="82"/>
      <c r="G117" s="82"/>
      <c r="H117" s="39"/>
      <c r="I117" s="7"/>
      <c r="K117" s="100"/>
      <c r="M117" s="100"/>
      <c r="N117" s="99"/>
      <c r="O117" s="192"/>
      <c r="R117" s="100"/>
      <c r="S117" s="100"/>
    </row>
    <row r="118" spans="1:24" x14ac:dyDescent="0.25">
      <c r="B118" s="82"/>
      <c r="C118" s="82"/>
      <c r="D118" s="82"/>
      <c r="E118" s="82"/>
      <c r="F118" s="82"/>
      <c r="G118" s="82"/>
    </row>
    <row r="119" spans="1:24" x14ac:dyDescent="0.25">
      <c r="A119" s="26"/>
      <c r="B119" s="82"/>
      <c r="C119" s="82"/>
      <c r="D119" s="82"/>
      <c r="E119" s="82"/>
      <c r="F119" s="82"/>
      <c r="G119" s="82"/>
      <c r="H119" s="26"/>
    </row>
    <row r="120" spans="1:24" x14ac:dyDescent="0.25">
      <c r="A120" s="26"/>
      <c r="B120" s="82"/>
      <c r="C120" s="82"/>
      <c r="D120" s="82"/>
      <c r="E120" s="82"/>
      <c r="F120" s="82"/>
      <c r="G120" s="82"/>
      <c r="H120" s="26"/>
    </row>
    <row r="121" spans="1:24" x14ac:dyDescent="0.25">
      <c r="B121" s="82"/>
      <c r="C121" s="82"/>
      <c r="D121" s="82"/>
      <c r="E121" s="82"/>
      <c r="F121" s="82"/>
      <c r="G121" s="82"/>
      <c r="N121" s="99"/>
      <c r="O121" s="99"/>
    </row>
    <row r="122" spans="1:24" x14ac:dyDescent="0.25">
      <c r="B122" s="82"/>
      <c r="C122" s="82"/>
      <c r="D122" s="82"/>
      <c r="E122" s="82"/>
      <c r="F122" s="82"/>
      <c r="G122" s="82"/>
    </row>
    <row r="123" spans="1:24" x14ac:dyDescent="0.25">
      <c r="B123" s="82"/>
      <c r="C123" s="82"/>
      <c r="D123" s="82"/>
      <c r="E123" s="82"/>
      <c r="F123" s="82"/>
      <c r="G123" s="82"/>
    </row>
    <row r="124" spans="1:24" x14ac:dyDescent="0.25">
      <c r="B124" s="82"/>
      <c r="C124" s="82"/>
      <c r="D124" s="82"/>
      <c r="E124" s="82"/>
      <c r="F124" s="82"/>
      <c r="G124" s="82"/>
    </row>
    <row r="125" spans="1:24" x14ac:dyDescent="0.25">
      <c r="B125" s="82"/>
      <c r="C125" s="82"/>
      <c r="D125" s="82"/>
      <c r="E125" s="82"/>
      <c r="F125" s="82"/>
      <c r="G125" s="82"/>
    </row>
    <row r="126" spans="1:24" x14ac:dyDescent="0.25">
      <c r="B126" s="82"/>
      <c r="C126" s="82"/>
      <c r="D126" s="82"/>
      <c r="E126" s="82"/>
      <c r="F126" s="82"/>
      <c r="G126" s="82"/>
    </row>
    <row r="127" spans="1:24" x14ac:dyDescent="0.25">
      <c r="B127" s="82"/>
      <c r="C127" s="82"/>
      <c r="D127" s="82"/>
      <c r="E127" s="82"/>
      <c r="F127" s="82"/>
      <c r="G127" s="82"/>
    </row>
    <row r="128" spans="1:24" x14ac:dyDescent="0.25">
      <c r="B128" s="82"/>
      <c r="C128" s="82"/>
      <c r="D128" s="82"/>
      <c r="E128" s="82"/>
      <c r="F128" s="82"/>
      <c r="G128" s="82"/>
    </row>
    <row r="129" spans="2:7" x14ac:dyDescent="0.25">
      <c r="B129" s="82"/>
      <c r="C129" s="82"/>
      <c r="D129" s="82"/>
      <c r="E129" s="82"/>
      <c r="F129" s="82"/>
      <c r="G129" s="82"/>
    </row>
    <row r="130" spans="2:7" x14ac:dyDescent="0.25">
      <c r="B130" s="82"/>
      <c r="C130" s="82"/>
      <c r="D130" s="82"/>
      <c r="E130" s="82"/>
      <c r="F130" s="82"/>
      <c r="G130" s="82"/>
    </row>
    <row r="131" spans="2:7" x14ac:dyDescent="0.25">
      <c r="B131" s="82"/>
      <c r="C131" s="82"/>
      <c r="D131" s="82"/>
      <c r="E131" s="82"/>
      <c r="F131" s="82"/>
      <c r="G131" s="82"/>
    </row>
    <row r="132" spans="2:7" x14ac:dyDescent="0.25">
      <c r="B132" s="82"/>
      <c r="C132" s="82"/>
      <c r="D132" s="82"/>
      <c r="E132" s="82"/>
      <c r="F132" s="82"/>
      <c r="G132" s="82"/>
    </row>
    <row r="133" spans="2:7" x14ac:dyDescent="0.25">
      <c r="B133" s="82"/>
      <c r="C133" s="82"/>
      <c r="D133" s="82"/>
      <c r="E133" s="82"/>
      <c r="F133" s="82"/>
      <c r="G133" s="82"/>
    </row>
    <row r="134" spans="2:7" x14ac:dyDescent="0.25">
      <c r="B134" s="82"/>
      <c r="C134" s="82"/>
      <c r="D134" s="82"/>
      <c r="E134" s="82"/>
      <c r="F134" s="82"/>
      <c r="G134" s="82"/>
    </row>
    <row r="135" spans="2:7" x14ac:dyDescent="0.25">
      <c r="B135" s="82"/>
      <c r="C135" s="82"/>
      <c r="D135" s="82"/>
      <c r="E135" s="82"/>
      <c r="F135" s="82"/>
      <c r="G135" s="82"/>
    </row>
    <row r="136" spans="2:7" x14ac:dyDescent="0.25">
      <c r="B136" s="82"/>
      <c r="C136" s="82"/>
      <c r="D136" s="82"/>
      <c r="E136" s="82"/>
      <c r="F136" s="82"/>
      <c r="G136" s="82"/>
    </row>
    <row r="137" spans="2:7" x14ac:dyDescent="0.25">
      <c r="B137" s="82"/>
      <c r="C137" s="82"/>
      <c r="D137" s="82"/>
      <c r="E137" s="82"/>
      <c r="F137" s="82"/>
      <c r="G137" s="82"/>
    </row>
    <row r="138" spans="2:7" x14ac:dyDescent="0.25">
      <c r="B138" s="82"/>
      <c r="C138" s="82"/>
      <c r="D138" s="82"/>
      <c r="E138" s="82"/>
      <c r="F138" s="82"/>
      <c r="G138" s="82"/>
    </row>
    <row r="139" spans="2:7" x14ac:dyDescent="0.25">
      <c r="B139" s="82"/>
      <c r="C139" s="82"/>
      <c r="D139" s="82"/>
      <c r="E139" s="82"/>
      <c r="F139" s="82"/>
      <c r="G139" s="82"/>
    </row>
    <row r="140" spans="2:7" x14ac:dyDescent="0.25">
      <c r="B140" s="82"/>
      <c r="C140" s="82"/>
      <c r="D140" s="82"/>
      <c r="E140" s="82"/>
      <c r="F140" s="82"/>
      <c r="G140" s="82"/>
    </row>
    <row r="141" spans="2:7" x14ac:dyDescent="0.25">
      <c r="B141" s="82"/>
      <c r="C141" s="82"/>
      <c r="D141" s="82"/>
      <c r="E141" s="82"/>
      <c r="F141" s="82"/>
      <c r="G141" s="82"/>
    </row>
    <row r="142" spans="2:7" x14ac:dyDescent="0.25">
      <c r="B142" s="82"/>
      <c r="C142" s="82"/>
      <c r="D142" s="82"/>
      <c r="E142" s="82"/>
      <c r="F142" s="82"/>
      <c r="G142" s="82"/>
    </row>
    <row r="143" spans="2:7" x14ac:dyDescent="0.25">
      <c r="B143" s="82"/>
      <c r="C143" s="82"/>
      <c r="D143" s="82"/>
      <c r="E143" s="82"/>
      <c r="F143" s="82"/>
      <c r="G143" s="82"/>
    </row>
    <row r="144" spans="2:7" x14ac:dyDescent="0.25">
      <c r="B144" s="82"/>
      <c r="C144" s="82"/>
      <c r="D144" s="82"/>
      <c r="E144" s="82"/>
      <c r="F144" s="82"/>
      <c r="G144" s="82"/>
    </row>
    <row r="145" spans="2:7" x14ac:dyDescent="0.25">
      <c r="B145" s="82"/>
      <c r="C145" s="82"/>
      <c r="D145" s="82"/>
      <c r="E145" s="82"/>
      <c r="F145" s="82"/>
      <c r="G145" s="82"/>
    </row>
    <row r="146" spans="2:7" x14ac:dyDescent="0.25">
      <c r="B146" s="82"/>
      <c r="C146" s="82"/>
      <c r="D146" s="82"/>
      <c r="E146" s="82"/>
      <c r="F146" s="82"/>
      <c r="G146" s="82"/>
    </row>
    <row r="147" spans="2:7" x14ac:dyDescent="0.25">
      <c r="B147" s="82"/>
      <c r="C147" s="82"/>
      <c r="D147" s="82"/>
      <c r="E147" s="82"/>
      <c r="F147" s="82"/>
      <c r="G147" s="82"/>
    </row>
    <row r="148" spans="2:7" x14ac:dyDescent="0.25">
      <c r="B148" s="82"/>
      <c r="C148" s="82"/>
      <c r="D148" s="82"/>
      <c r="E148" s="82"/>
      <c r="F148" s="82"/>
      <c r="G148" s="82"/>
    </row>
    <row r="149" spans="2:7" x14ac:dyDescent="0.25">
      <c r="B149" s="82"/>
      <c r="C149" s="82"/>
      <c r="D149" s="82"/>
      <c r="E149" s="82"/>
      <c r="F149" s="82"/>
      <c r="G149" s="82"/>
    </row>
    <row r="150" spans="2:7" x14ac:dyDescent="0.25">
      <c r="B150" s="82"/>
      <c r="C150" s="82"/>
      <c r="D150" s="82"/>
      <c r="E150" s="82"/>
      <c r="F150" s="82"/>
      <c r="G150" s="82"/>
    </row>
    <row r="151" spans="2:7" x14ac:dyDescent="0.25">
      <c r="B151" s="82"/>
      <c r="C151" s="82"/>
      <c r="D151" s="82"/>
      <c r="E151" s="82"/>
      <c r="F151" s="82"/>
      <c r="G151" s="82"/>
    </row>
    <row r="152" spans="2:7" x14ac:dyDescent="0.25">
      <c r="B152" s="82"/>
      <c r="C152" s="82"/>
      <c r="D152" s="82"/>
      <c r="E152" s="82"/>
      <c r="F152" s="82"/>
      <c r="G152" s="82"/>
    </row>
    <row r="153" spans="2:7" x14ac:dyDescent="0.25">
      <c r="B153" s="82"/>
      <c r="C153" s="82"/>
      <c r="D153" s="82"/>
      <c r="E153" s="82"/>
      <c r="F153" s="82"/>
      <c r="G153" s="82"/>
    </row>
    <row r="154" spans="2:7" x14ac:dyDescent="0.25">
      <c r="B154" s="82"/>
      <c r="C154" s="82"/>
      <c r="D154" s="82"/>
      <c r="E154" s="82"/>
      <c r="F154" s="82"/>
      <c r="G154" s="82"/>
    </row>
    <row r="155" spans="2:7" x14ac:dyDescent="0.25">
      <c r="B155" s="82"/>
      <c r="C155" s="82"/>
      <c r="D155" s="82"/>
      <c r="E155" s="82"/>
      <c r="F155" s="82"/>
      <c r="G155" s="82"/>
    </row>
    <row r="156" spans="2:7" x14ac:dyDescent="0.25">
      <c r="B156" s="82"/>
      <c r="C156" s="82"/>
      <c r="D156" s="82"/>
      <c r="E156" s="82"/>
      <c r="F156" s="82"/>
      <c r="G156" s="82"/>
    </row>
    <row r="157" spans="2:7" x14ac:dyDescent="0.25">
      <c r="B157" s="82"/>
      <c r="C157" s="82"/>
      <c r="D157" s="82"/>
      <c r="E157" s="82"/>
      <c r="F157" s="82"/>
      <c r="G157" s="82"/>
    </row>
    <row r="158" spans="2:7" x14ac:dyDescent="0.25">
      <c r="B158" s="82"/>
      <c r="C158" s="82"/>
      <c r="D158" s="82"/>
      <c r="E158" s="82"/>
      <c r="F158" s="82"/>
      <c r="G158" s="82"/>
    </row>
    <row r="159" spans="2:7" x14ac:dyDescent="0.25">
      <c r="B159" s="82"/>
      <c r="C159" s="82"/>
      <c r="D159" s="82"/>
      <c r="E159" s="82"/>
      <c r="F159" s="82"/>
      <c r="G159" s="82"/>
    </row>
    <row r="160" spans="2:7" x14ac:dyDescent="0.25">
      <c r="B160" s="82"/>
      <c r="C160" s="82"/>
      <c r="D160" s="82"/>
      <c r="E160" s="82"/>
      <c r="F160" s="82"/>
      <c r="G160" s="82"/>
    </row>
    <row r="161" spans="2:7" x14ac:dyDescent="0.25">
      <c r="B161" s="82"/>
      <c r="C161" s="82"/>
      <c r="D161" s="82"/>
      <c r="E161" s="82"/>
      <c r="F161" s="82"/>
      <c r="G161" s="82"/>
    </row>
    <row r="162" spans="2:7" x14ac:dyDescent="0.25">
      <c r="B162" s="82"/>
      <c r="C162" s="82"/>
      <c r="D162" s="82"/>
      <c r="E162" s="82"/>
      <c r="F162" s="82"/>
      <c r="G162" s="82"/>
    </row>
    <row r="163" spans="2:7" x14ac:dyDescent="0.25">
      <c r="B163" s="82"/>
      <c r="C163" s="82"/>
      <c r="D163" s="82"/>
      <c r="E163" s="82"/>
      <c r="F163" s="82"/>
      <c r="G163" s="82"/>
    </row>
    <row r="164" spans="2:7" x14ac:dyDescent="0.25">
      <c r="B164" s="82"/>
      <c r="C164" s="82"/>
      <c r="D164" s="82"/>
      <c r="E164" s="82"/>
      <c r="F164" s="82"/>
      <c r="G164" s="82"/>
    </row>
    <row r="165" spans="2:7" x14ac:dyDescent="0.25">
      <c r="B165" s="82"/>
      <c r="C165" s="82"/>
      <c r="D165" s="82"/>
      <c r="E165" s="82"/>
      <c r="F165" s="82"/>
      <c r="G165" s="82"/>
    </row>
    <row r="166" spans="2:7" x14ac:dyDescent="0.25">
      <c r="B166" s="82"/>
      <c r="C166" s="82"/>
      <c r="D166" s="82"/>
      <c r="E166" s="82"/>
      <c r="F166" s="82"/>
      <c r="G166" s="82"/>
    </row>
    <row r="167" spans="2:7" x14ac:dyDescent="0.25">
      <c r="B167" s="82"/>
      <c r="C167" s="82"/>
      <c r="D167" s="82"/>
      <c r="E167" s="82"/>
      <c r="F167" s="82"/>
      <c r="G167" s="82"/>
    </row>
  </sheetData>
  <autoFilter ref="A4:AL115" xr:uid="{00000000-0001-0000-0000-000000000000}"/>
  <sortState xmlns:xlrd2="http://schemas.microsoft.com/office/spreadsheetml/2017/richdata2" ref="A5:AL114">
    <sortCondition ref="A5:A114"/>
  </sortState>
  <mergeCells count="6">
    <mergeCell ref="T3:U3"/>
    <mergeCell ref="J3:K3"/>
    <mergeCell ref="L3:M3"/>
    <mergeCell ref="N3:O3"/>
    <mergeCell ref="P3:Q3"/>
    <mergeCell ref="R3:S3"/>
  </mergeCells>
  <conditionalFormatting sqref="B1:F1048576">
    <cfRule type="duplicateValues" dxfId="0" priority="1"/>
  </conditionalFormatting>
  <pageMargins left="0.7" right="0.7" top="0.75" bottom="0.75" header="0.3" footer="0.3"/>
  <pageSetup paperSize="8"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FF375ACC1A4445940A4C81ED94C08F" ma:contentTypeVersion="17" ma:contentTypeDescription="Opret et nyt dokument." ma:contentTypeScope="" ma:versionID="a295b96f2e894d68a7096ba60eaf115d">
  <xsd:schema xmlns:xsd="http://www.w3.org/2001/XMLSchema" xmlns:xs="http://www.w3.org/2001/XMLSchema" xmlns:p="http://schemas.microsoft.com/office/2006/metadata/properties" xmlns:ns2="c440c41f-847c-4dc6-922d-abc56c9df52d" xmlns:ns3="6e46998b-79b1-4f90-a3ff-511e4f6a0ff0" targetNamespace="http://schemas.microsoft.com/office/2006/metadata/properties" ma:root="true" ma:fieldsID="8b246ac043a4370df47df99e42b845ca" ns2:_="" ns3:_="">
    <xsd:import namespace="c440c41f-847c-4dc6-922d-abc56c9df52d"/>
    <xsd:import namespace="6e46998b-79b1-4f90-a3ff-511e4f6a0f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c41f-847c-4dc6-922d-abc56c9df5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48038df3-9214-4da3-801a-4d7724d6db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46998b-79b1-4f90-a3ff-511e4f6a0ff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3276d29-cf9f-47d2-911c-2491e194bfa4}" ma:internalName="TaxCatchAll" ma:showField="CatchAllData" ma:web="6e46998b-79b1-4f90-a3ff-511e4f6a0f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40c41f-847c-4dc6-922d-abc56c9df52d">
      <Terms xmlns="http://schemas.microsoft.com/office/infopath/2007/PartnerControls"/>
    </lcf76f155ced4ddcb4097134ff3c332f>
    <TaxCatchAll xmlns="6e46998b-79b1-4f90-a3ff-511e4f6a0ff0" xsi:nil="true"/>
  </documentManagement>
</p:properties>
</file>

<file path=customXml/itemProps1.xml><?xml version="1.0" encoding="utf-8"?>
<ds:datastoreItem xmlns:ds="http://schemas.openxmlformats.org/officeDocument/2006/customXml" ds:itemID="{C62CAD8E-2B11-4366-A9BC-1470DEC61E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174861-61A8-4C67-B537-6054A8A2A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40c41f-847c-4dc6-922d-abc56c9df52d"/>
    <ds:schemaRef ds:uri="6e46998b-79b1-4f90-a3ff-511e4f6a0f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5A83D5-04C0-41BE-8DB7-11BDBFF8AF12}">
  <ds:schemaRefs>
    <ds:schemaRef ds:uri="http://schemas.microsoft.com/office/2006/metadata/properties"/>
    <ds:schemaRef ds:uri="http://schemas.microsoft.com/office/infopath/2007/PartnerControls"/>
    <ds:schemaRef ds:uri="c440c41f-847c-4dc6-922d-abc56c9df52d"/>
    <ds:schemaRef ds:uri="6e46998b-79b1-4f90-a3ff-511e4f6a0f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Spisemærker</vt:lpstr>
      <vt:lpstr>Øko% kommunale køkk. m. smiley</vt:lpstr>
      <vt:lpstr>Øko% pr. område</vt:lpstr>
      <vt:lpstr>Nemlig Q4</vt:lpstr>
      <vt:lpstr>Hørkram Q4</vt:lpstr>
      <vt:lpstr>Øko% Alle køkkener</vt:lpstr>
    </vt:vector>
  </TitlesOfParts>
  <Company>Furesoe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thfi</dc:creator>
  <cp:lastModifiedBy>Anne Marie Burchall Henningsen</cp:lastModifiedBy>
  <cp:lastPrinted>2024-04-08T07:24:10Z</cp:lastPrinted>
  <dcterms:created xsi:type="dcterms:W3CDTF">2013-02-12T11:24:21Z</dcterms:created>
  <dcterms:modified xsi:type="dcterms:W3CDTF">2025-01-28T10:49:33Z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0x01010029FF375ACC1A4445940A4C81ED94C08F</vt:lpwstr>
  </property>
</Properties>
</file>